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d.docs.live.net/edaa20edc367def0/Desktop/"/>
    </mc:Choice>
  </mc:AlternateContent>
  <xr:revisionPtr revIDLastSave="915" documentId="8_{2A33A6FE-1ACE-4949-8A74-026DA7AC130C}" xr6:coauthVersionLast="47" xr6:coauthVersionMax="47" xr10:uidLastSave="{1CE341CA-AB71-4B35-9A64-D4F385AB646F}"/>
  <bookViews>
    <workbookView xWindow="10170" yWindow="375" windowWidth="17775" windowHeight="1521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<sst xmlns="http://schemas.openxmlformats.org/spreadsheetml/2006/main" count="5111" uniqueCount="2383">
  <si>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</si>
  <si>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</si>
  <si>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</si>
  <si>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</si>
  <si>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</si>
  <si>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</si>
  <si>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</si>
  <si>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</si>
  <si>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</si>
  <si>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</si>
  <si>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</si>
  <si>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</si>
  <si>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</si>
  <si>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</si>
  <si>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</si>
  <si>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</si>
  <si>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</si>
  <si>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</si>
  <si>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</si>
  <si>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</si>
  <si>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</si>
  <si>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</si>
  <si>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</si>
  <si>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</si>
  <si>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</si>
  <si>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</si>
  <si>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</si>
  <si>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</si>
  <si>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</si>
  <si>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</si>
  <si>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</si>
  <si>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</si>
  <si>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</si>
  <si>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</si>
  <si>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</si>
  <si>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</si>
  <si>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</si>
  <si>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</si>
  <si>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</si>
  <si>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</si>
  <si>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</si>
  <si>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</si>
  <si>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</si>
  <si>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</si>
  <si>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</si>
  <si>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</si>
  <si>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</si>
  <si>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</si>
  <si>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</si>
  <si>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</si>
  <si>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</si>
  <si>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</si>
  <si>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</si>
  <si>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</si>
  <si>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</si>
  <si>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</si>
  <si>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</si>
  <si>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</si>
  <si>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</si>
  <si>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</si>
  <si>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</si>
  <si>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</si>
  <si>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</si>
  <si>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</si>
  <si>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</si>
  <si>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</si>
  <si>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</si>
  <si>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</si>
  <si>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</si>
  <si>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</si>
  <si>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</si>
  <si>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</si>
  <si>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</si>
  <si>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</si>
  <si>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</si>
  <si>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</si>
  <si>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</si>
  <si>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</si>
  <si>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</si>
  <si>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</si>
  <si>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</si>
  <si>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</si>
  <si>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</si>
  <si>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</si>
  <si>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</si>
  <si>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</si>
  <si>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</si>
  <si>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</si>
  <si>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</si>
  <si>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</si>
  <si>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</si>
  <si>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</si>
  <si>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</si>
  <si>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</si>
  <si>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</si>
  <si>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</si>
  <si>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</si>
  <si>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</si>
  <si>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</si>
  <si>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</si>
  <si>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</si>
  <si>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</si>
  <si>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</si>
  <si>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</si>
  <si>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</si>
  <si>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</si>
  <si>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</si>
  <si>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</si>
  <si>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</si>
  <si>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</si>
  <si>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</si>
  <si>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</si>
  <si>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</si>
  <si>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</si>
  <si>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</si>
  <si>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</si>
  <si>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</si>
  <si>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</si>
  <si>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</si>
  <si>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</si>
  <si>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</si>
  <si>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</si>
  <si>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</si>
  <si>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</si>
  <si>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</si>
  <si>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</si>
  <si>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</si>
  <si>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</si>
  <si>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</si>
  <si>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</si>
  <si>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</si>
  <si>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</si>
  <si>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</si>
  <si>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</si>
  <si>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</si>
  <si>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</si>
  <si>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</si>
  <si>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</si>
  <si>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</si>
  <si>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</si>
  <si>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</si>
  <si>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</si>
  <si>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</si>
  <si>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</si>
  <si>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</si>
  <si>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</si>
  <si>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</si>
  <si>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</si>
  <si>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</si>
  <si>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</si>
  <si>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</si>
  <si>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</si>
  <si>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</si>
  <si>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</si>
  <si>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</si>
  <si>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</si>
  <si>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</si>
  <si>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</si>
  <si>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</si>
  <si>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</si>
  <si>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</si>
  <si>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</si>
  <si>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</si>
  <si>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</si>
  <si>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</si>
  <si>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</si>
  <si>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</si>
  <si>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</si>
  <si>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</si>
  <si>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</si>
  <si>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</si>
  <si>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</si>
  <si>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</si>
  <si>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</si>
  <si>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</si>
  <si>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</si>
  <si>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</si>
  <si>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</si>
  <si>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</si>
  <si>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</si>
  <si>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</si>
  <si>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</si>
  <si>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</si>
  <si>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</si>
  <si>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</si>
  <si>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</si>
  <si>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</si>
  <si>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</si>
  <si>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</si>
  <si>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</si>
  <si>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</si>
  <si>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</si>
  <si>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</si>
  <si>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</si>
  <si>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</si>
  <si>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</si>
  <si>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</si>
  <si>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</si>
  <si>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</si>
  <si>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</si>
  <si>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</si>
  <si>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</si>
  <si>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</si>
  <si>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</si>
  <si>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</si>
  <si>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</si>
  <si>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</si>
  <si>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</si>
  <si>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</si>
  <si>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</si>
  <si>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</si>
  <si>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</si>
  <si>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</si>
  <si>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</si>
  <si>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</si>
  <si>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</si>
  <si>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</si>
  <si>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</si>
  <si>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</si>
  <si>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</si>
  <si>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</si>
  <si>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</si>
  <si>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</si>
  <si>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</si>
  <si>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</si>
  <si>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</si>
  <si>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</si>
  <si>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</si>
  <si>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</si>
  <si>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</si>
  <si>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</si>
  <si>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</si>
  <si>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</si>
  <si>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</si>
  <si>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</si>
  <si>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</si>
  <si>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</si>
  <si>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</si>
  <si>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</si>
  <si>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</si>
  <si>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</si>
  <si>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</si>
  <si>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</si>
  <si>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</si>
  <si>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</si>
  <si>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</si>
  <si>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</si>
  <si>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</si>
  <si>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</si>
  <si>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</si>
  <si>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</si>
  <si>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</si>
  <si>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</si>
  <si>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</si>
  <si>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</si>
  <si>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</si>
  <si>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</si>
  <si>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</si>
  <si>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</si>
  <si>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</si>
  <si>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</si>
  <si>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</si>
  <si>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</si>
  <si>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</si>
  <si>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</si>
  <si>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</si>
  <si>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</si>
  <si>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</si>
  <si>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</si>
  <si>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</si>
  <si>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</si>
  <si>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</si>
  <si>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</si>
  <si>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</si>
  <si>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</si>
  <si>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</si>
  <si>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</si>
  <si>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</si>
  <si>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</si>
  <si>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</si>
  <si>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</si>
  <si>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</si>
  <si>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</si>
  <si>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</si>
  <si>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</si>
  <si>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</si>
  <si>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</si>
  <si>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</si>
  <si>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</si>
  <si>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</si>
  <si>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</si>
  <si>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</si>
  <si>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</si>
  <si>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</si>
  <si>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</si>
  <si>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</si>
  <si>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</si>
  <si>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</si>
  <si>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</si>
  <si>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</si>
  <si>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</si>
  <si>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</si>
  <si>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</si>
  <si>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</si>
  <si>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</si>
  <si>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</si>
  <si>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</si>
  <si>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</si>
  <si>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</si>
  <si>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</si>
  <si>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</si>
  <si>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</si>
  <si>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</si>
  <si>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</si>
  <si>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</si>
  <si>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</si>
  <si>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</si>
  <si>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</si>
  <si>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</si>
  <si>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</si>
  <si>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</si>
  <si>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</si>
  <si>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</si>
  <si>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</si>
  <si>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</si>
  <si>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</si>
  <si>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</si>
  <si>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</si>
  <si>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</si>
  <si>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</si>
  <si>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</si>
  <si>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</si>
  <si>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</si>
  <si>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</si>
  <si>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</si>
  <si>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</si>
  <si>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</si>
  <si>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</si>
  <si>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</si>
  <si>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</si>
  <si>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</si>
  <si>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</si>
  <si>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</si>
  <si>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</si>
  <si>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</si>
  <si>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</si>
  <si>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</si>
  <si>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</si>
  <si>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</si>
  <si>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</si>
  <si>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</si>
  <si>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</si>
  <si>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</si>
  <si>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</si>
  <si>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</si>
  <si>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</si>
  <si>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</si>
  <si>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</si>
  <si>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</si>
  <si>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</si>
  <si>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</si>
  <si>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</si>
  <si>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</si>
  <si>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</si>
  <si>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</si>
  <si>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</si>
  <si>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</si>
  <si>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</si>
  <si>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</si>
  <si>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</si>
  <si>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</si>
  <si>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</si>
  <si>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</si>
  <si>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</si>
  <si>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</si>
  <si>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</si>
  <si>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</si>
  <si>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</si>
  <si>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</si>
  <si>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</si>
  <si>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</si>
  <si>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</si>
  <si>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</si>
  <si>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</si>
  <si>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</si>
  <si>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</si>
  <si>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</si>
  <si>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</si>
  <si>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</si>
  <si>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</si>
  <si>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</si>
  <si>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</si>
  <si>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</si>
  <si>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</si>
  <si>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</si>
  <si>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</si>
  <si>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</si>
  <si>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</si>
  <si>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</si>
  <si>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</si>
  <si>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</si>
  <si>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</si>
  <si>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</si>
  <si>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</si>
  <si>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</si>
  <si>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</si>
  <si>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</si>
  <si>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</si>
  <si>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</si>
  <si>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</si>
  <si>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</si>
  <si>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</si>
  <si>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</si>
  <si>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</si>
  <si>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</si>
  <si>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</si>
  <si>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</si>
  <si>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</si>
  <si>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</si>
  <si>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</si>
  <si>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</si>
  <si>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</si>
  <si>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</si>
  <si>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</si>
  <si>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</si>
  <si>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</si>
  <si>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</si>
  <si>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</si>
  <si>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</si>
  <si>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</si>
  <si>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</si>
  <si>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</si>
  <si>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</si>
  <si>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</si>
  <si>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</si>
  <si>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</si>
  <si>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</si>
  <si>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</si>
  <si>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</si>
  <si>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</si>
  <si>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</si>
  <si>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</si>
  <si>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</si>
  <si>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</si>
  <si>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</si>
  <si>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</si>
  <si>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</si>
  <si>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</si>
  <si>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</si>
  <si>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</si>
  <si>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</si>
  <si>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</si>
  <si>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</si>
  <si>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</si>
  <si>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</si>
  <si>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</si>
  <si>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</si>
  <si>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</si>
  <si>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</si>
  <si>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</si>
  <si>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</si>
  <si>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</si>
  <si>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</si>
  <si>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</si>
  <si>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</si>
  <si>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</si>
  <si>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</si>
  <si>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</si>
  <si>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</si>
  <si>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</si>
  <si>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</si>
  <si>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</si>
  <si>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</si>
  <si>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</si>
  <si>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</si>
  <si>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</si>
  <si>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</si>
  <si>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</si>
  <si>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</si>
  <si>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</si>
  <si>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</si>
  <si>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</si>
  <si>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</si>
  <si>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</si>
  <si>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</si>
  <si>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</si>
  <si>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</si>
  <si>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</si>
  <si>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</si>
  <si>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</si>
  <si>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</si>
  <si>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</si>
  <si>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</si>
  <si>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</si>
  <si>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</si>
  <si>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</si>
  <si>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</si>
  <si>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</si>
  <si>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</si>
  <si>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</si>
  <si>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</si>
  <si>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</si>
  <si>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</si>
  <si>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</si>
  <si>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</si>
  <si>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</si>
  <si>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</si>
  <si>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</si>
  <si>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</si>
  <si>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</si>
  <si>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</si>
  <si>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</si>
  <si>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</si>
  <si>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</si>
  <si>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</si>
  <si>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</si>
  <si>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</si>
  <si>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</si>
  <si>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</si>
  <si>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</si>
  <si>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</si>
  <si>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</si>
  <si>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</si>
  <si>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</si>
  <si>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</si>
  <si>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</si>
  <si>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</si>
  <si>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</si>
  <si>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</si>
  <si>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</si>
  <si>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</si>
  <si>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</si>
  <si>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</si>
  <si>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</si>
  <si>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</si>
  <si>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</si>
  <si>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</si>
  <si>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</si>
  <si>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</si>
  <si>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</si>
  <si>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</si>
  <si>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</si>
  <si>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</si>
  <si>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</si>
  <si>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</si>
  <si>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</si>
  <si>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</si>
  <si>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</si>
  <si>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</si>
  <si>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</si>
  <si>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</si>
  <si>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</si>
  <si>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</si>
  <si>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</si>
  <si>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</si>
  <si>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</si>
  <si>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</si>
  <si>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</si>
  <si>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</si>
  <si>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</si>
  <si>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</si>
  <si>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</si>
  <si>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</si>
  <si>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</si>
  <si>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</si>
  <si>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</si>
  <si>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</si>
  <si>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</si>
  <si>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</si>
  <si>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</si>
  <si>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</si>
  <si>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</si>
  <si>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</si>
  <si>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</si>
  <si>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</si>
  <si>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</si>
  <si>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</si>
  <si>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</si>
  <si>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</si>
  <si>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</si>
  <si>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</si>
  <si>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</si>
  <si>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</si>
  <si>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</si>
  <si>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</si>
  <si>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</si>
  <si>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</si>
  <si>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</si>
  <si>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</si>
  <si>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</si>
  <si>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</si>
  <si>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</si>
  <si>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</si>
  <si>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</si>
  <si>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</si>
  <si>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</si>
  <si>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</si>
  <si>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</si>
  <si>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</si>
  <si>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</si>
  <si>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</si>
  <si>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</si>
  <si>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</si>
  <si>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</si>
  <si>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</si>
  <si>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</si>
  <si>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</si>
  <si>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</si>
  <si>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</si>
  <si>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</si>
  <si>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</si>
  <si>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</si>
  <si>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</si>
  <si>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</si>
  <si>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</si>
  <si>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</si>
  <si>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</si>
  <si>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</si>
  <si>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</si>
  <si>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</si>
  <si>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</si>
  <si>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</si>
  <si>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</si>
  <si>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</si>
  <si>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</si>
  <si>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</si>
  <si>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</si>
  <si>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</si>
  <si>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</si>
  <si>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</si>
  <si>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</si>
  <si>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</si>
  <si>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</si>
  <si>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</si>
  <si>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</si>
  <si>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</si>
  <si>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</si>
  <si>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</si>
  <si>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</si>
  <si>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</si>
  <si>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</si>
  <si>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</si>
  <si>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</si>
  <si>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</si>
  <si>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</si>
  <si>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</si>
  <si>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</si>
  <si>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</si>
  <si>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</si>
  <si>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</si>
  <si>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</si>
  <si>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</si>
  <si>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</si>
  <si>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</si>
  <si>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</si>
  <si>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</si>
  <si>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</si>
  <si>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</si>
  <si>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</si>
  <si>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</si>
  <si>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</si>
  <si>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</si>
  <si>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</si>
  <si>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</si>
  <si>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</si>
  <si>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</si>
  <si>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</si>
  <si>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</si>
  <si>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</si>
  <si>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</si>
  <si>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</si>
  <si>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</si>
  <si>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</si>
  <si>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</si>
  <si>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</si>
  <si>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</si>
  <si>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</si>
  <si>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</si>
  <si>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</si>
  <si>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</si>
  <si>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</si>
  <si>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</si>
  <si>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</si>
  <si>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</si>
  <si>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</si>
  <si>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</si>
  <si>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</si>
  <si>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</si>
  <si>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</si>
  <si>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</si>
  <si>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</si>
  <si>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</si>
  <si>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</si>
  <si>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</si>
  <si>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</si>
  <si>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</si>
  <si>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</si>
  <si>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</si>
  <si>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</si>
  <si>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</si>
  <si>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</si>
  <si>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</si>
  <si>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</si>
  <si>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</si>
  <si>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</si>
  <si>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</si>
  <si>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</si>
  <si>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</si>
  <si>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</si>
  <si>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</si>
  <si>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</si>
  <si>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</si>
  <si>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</si>
  <si>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</si>
  <si>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</si>
  <si>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</si>
  <si>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</si>
  <si>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</si>
  <si>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</si>
  <si>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</si>
  <si>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</si>
  <si>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</si>
  <si>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</si>
  <si>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</si>
  <si>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</si>
  <si>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</si>
  <si>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</si>
  <si>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</si>
  <si>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</si>
  <si>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</si>
  <si>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</si>
  <si>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</si>
  <si>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</si>
  <si>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</si>
  <si>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</si>
  <si>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</si>
  <si>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</si>
  <si>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</si>
  <si>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</si>
  <si>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</si>
  <si>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</si>
  <si>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</si>
  <si>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</si>
  <si>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</si>
  <si>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</si>
  <si>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</si>
  <si>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</si>
  <si>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</si>
  <si>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</si>
  <si>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</si>
  <si>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</si>
  <si>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</si>
  <si>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</si>
  <si>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</si>
  <si>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</si>
  <si>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</si>
  <si>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</si>
  <si>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</si>
  <si>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</si>
  <si>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</si>
  <si>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</si>
  <si>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</si>
  <si>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</si>
  <si>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</si>
  <si>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</si>
  <si>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</si>
  <si>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</si>
  <si>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</si>
  <si>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</si>
  <si>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</si>
  <si>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</si>
  <si>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</si>
  <si>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</si>
  <si>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</si>
  <si>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</si>
  <si>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</si>
  <si>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</si>
  <si>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</si>
  <si>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</si>
  <si>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</si>
  <si>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</si>
  <si>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</si>
  <si>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</si>
  <si>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</si>
  <si>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</si>
  <si>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</si>
  <si>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</si>
  <si>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</si>
  <si>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</si>
  <si>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</si>
  <si>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</si>
  <si>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</si>
  <si>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</si>
  <si>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</si>
  <si>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</si>
  <si>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</si>
  <si>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</si>
  <si>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</si>
  <si>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</si>
  <si>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</si>
  <si>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</si>
  <si>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</si>
  <si>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</si>
  <si>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</si>
  <si>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</si>
  <si>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</si>
  <si>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</si>
  <si>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</si>
  <si>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</si>
  <si>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</si>
  <si>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</si>
  <si>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</si>
  <si>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</si>
  <si>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</si>
  <si>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</si>
  <si>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</si>
  <si>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</si>
  <si>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</si>
  <si>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</si>
  <si>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</si>
  <si>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</si>
  <si>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</si>
  <si>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</si>
  <si>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</si>
  <si>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</si>
  <si>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</si>
  <si>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</si>
  <si>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</si>
  <si>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</si>
  <si>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</si>
  <si>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</si>
  <si>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</si>
  <si>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</si>
  <si>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</si>
  <si>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</si>
  <si>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</si>
  <si>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</si>
  <si>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</si>
  <si>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</si>
  <si>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</si>
  <si>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</si>
  <si>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</si>
  <si>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</si>
  <si>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</si>
  <si>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</si>
  <si>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</si>
  <si>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</si>
  <si>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</si>
  <si>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</si>
  <si>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</si>
  <si>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</si>
  <si>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</si>
  <si>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</si>
  <si>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</si>
  <si>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</si>
  <si>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</si>
  <si>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</si>
  <si>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</si>
  <si>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</si>
  <si>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</si>
  <si>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</si>
  <si>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</si>
  <si>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</si>
  <si>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</si>
  <si>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</si>
  <si>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</si>
  <si>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</si>
  <si>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</si>
  <si>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</si>
  <si>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</si>
  <si>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</si>
  <si>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</si>
  <si>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</si>
  <si>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</si>
  <si>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</si>
  <si>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</si>
  <si>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</si>
  <si>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</si>
  <si>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</si>
  <si>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</si>
  <si>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</si>
  <si>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</si>
  <si>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</si>
  <si>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</si>
  <si>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</si>
  <si>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</si>
  <si>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</si>
  <si>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</si>
  <si>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</si>
  <si>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</si>
  <si>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</si>
  <si>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</si>
  <si>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</si>
  <si>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</si>
  <si>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</si>
  <si>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</si>
  <si>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</si>
  <si>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</si>
  <si>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</si>
  <si>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</si>
  <si>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</si>
  <si>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</si>
  <si>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</si>
  <si>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</si>
  <si>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</si>
  <si>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</si>
  <si>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</si>
  <si>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</si>
  <si>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</si>
  <si>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</si>
  <si>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</si>
  <si>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</si>
  <si>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</si>
  <si>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</si>
  <si>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</si>
  <si>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</si>
  <si>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</si>
  <si>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</si>
  <si>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</si>
  <si>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</si>
  <si>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</si>
  <si>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</si>
  <si>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</si>
  <si>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</si>
  <si>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</si>
  <si>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</si>
  <si>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</si>
  <si>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</si>
  <si>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</si>
  <si>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</si>
  <si>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</si>
  <si>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</si>
  <si>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</si>
  <si>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</si>
  <si>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</si>
  <si>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</si>
  <si>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</si>
  <si>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</si>
  <si>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</si>
  <si>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</si>
  <si>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</si>
  <si>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</si>
  <si>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</si>
  <si>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</si>
  <si>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</si>
  <si>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</si>
  <si>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</si>
  <si>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</si>
  <si>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</si>
  <si>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</si>
  <si>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</si>
  <si>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</si>
  <si>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</si>
  <si>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</si>
  <si>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</si>
  <si>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</si>
  <si>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</si>
  <si>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</si>
  <si>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</si>
  <si>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</si>
  <si>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</si>
  <si>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</si>
  <si>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</si>
  <si>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</si>
  <si>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</si>
  <si>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</si>
  <si>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</si>
  <si>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</si>
  <si>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</si>
  <si>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</si>
  <si>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</si>
  <si>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</si>
  <si>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</si>
  <si>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</si>
  <si>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</si>
  <si>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</si>
  <si>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</si>
  <si>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</si>
  <si>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</si>
  <si>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</si>
  <si>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</si>
  <si>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</si>
  <si>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</si>
  <si>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</si>
  <si>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</si>
  <si>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</si>
  <si>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</si>
  <si>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</si>
  <si>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</si>
  <si>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</si>
  <si>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</si>
  <si>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</si>
  <si>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</si>
  <si>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</si>
  <si>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</si>
  <si>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</si>
  <si>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</si>
  <si>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</si>
  <si>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</si>
  <si>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</si>
  <si>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</si>
  <si>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</si>
  <si>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</si>
  <si>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</si>
  <si>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</si>
  <si>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</si>
  <si>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</si>
  <si>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</si>
  <si>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</si>
  <si>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</si>
  <si>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</si>
  <si>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</si>
  <si>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</si>
  <si>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</si>
  <si>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</si>
  <si>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</si>
  <si>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</si>
  <si>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</si>
  <si>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</si>
  <si>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</si>
  <si>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</si>
  <si>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</si>
  <si>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</si>
  <si>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</si>
  <si>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</si>
  <si>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</si>
  <si>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</si>
  <si>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</si>
  <si>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</si>
  <si>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</si>
  <si>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</si>
  <si>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</si>
  <si>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</si>
  <si>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</si>
  <si>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</si>
  <si>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</si>
  <si>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</si>
  <si>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</si>
  <si>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</si>
  <si>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</si>
  <si>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</si>
  <si>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</si>
  <si>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</si>
  <si>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</si>
  <si>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</si>
  <si>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</si>
  <si>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</si>
  <si>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</si>
  <si>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</si>
  <si>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</si>
  <si>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</si>
  <si>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</si>
  <si>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</si>
  <si>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</si>
  <si>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</si>
  <si>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</si>
  <si>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</si>
  <si>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</si>
  <si>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</si>
  <si>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</si>
  <si>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</si>
  <si>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</si>
  <si>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</si>
  <si>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</si>
  <si>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</si>
  <si>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</si>
  <si>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</si>
  <si>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</si>
  <si>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</si>
  <si>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</si>
  <si>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</si>
  <si>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</si>
  <si>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</si>
  <si>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</si>
  <si>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</si>
  <si>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</si>
  <si>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</si>
  <si>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</si>
  <si>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</si>
  <si>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</si>
  <si>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</si>
  <si>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</si>
  <si>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</si>
  <si>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</si>
  <si>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</si>
  <si>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</si>
  <si>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</si>
  <si>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</si>
  <si>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</si>
  <si>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</si>
  <si>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</si>
  <si>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</si>
  <si>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</si>
  <si>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</si>
  <si>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</si>
  <si>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</si>
  <si>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</si>
  <si>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</si>
  <si>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</si>
  <si>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</si>
  <si>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</si>
  <si>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</si>
  <si>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</si>
  <si>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</si>
  <si>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</si>
  <si>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</si>
  <si>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</si>
  <si>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</si>
  <si>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</si>
  <si>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</si>
  <si>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</si>
  <si>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</si>
  <si>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</si>
  <si>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</si>
  <si>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</si>
  <si>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</si>
  <si>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</si>
  <si>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</si>
  <si>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</si>
  <si>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</si>
  <si>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</si>
  <si>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</si>
  <si>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</si>
  <si>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</si>
  <si>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</si>
  <si>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</si>
  <si>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</si>
  <si>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</si>
  <si>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</si>
  <si>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</si>
  <si>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</si>
  <si>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</si>
  <si>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</si>
  <si>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</si>
  <si>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</si>
  <si>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</si>
  <si>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</si>
  <si>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</si>
  <si>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</si>
  <si>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</si>
  <si>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</si>
  <si>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</si>
  <si>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</si>
  <si>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</si>
  <si>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</si>
  <si>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</si>
  <si>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</si>
  <si>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</si>
  <si>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</si>
  <si>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</si>
  <si>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</si>
  <si>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</si>
  <si>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</si>
  <si>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</si>
  <si>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</si>
  <si>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</si>
  <si>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</si>
  <si>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</si>
  <si>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</si>
  <si>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</si>
  <si>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</si>
  <si>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</si>
  <si>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</si>
  <si>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</si>
  <si>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</si>
  <si>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</si>
  <si>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</si>
  <si>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</si>
  <si>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</si>
  <si>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</si>
  <si>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</si>
  <si>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</si>
  <si>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</si>
  <si>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</si>
  <si>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</si>
  <si>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</si>
  <si>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</si>
  <si>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</si>
  <si>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</si>
  <si>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</si>
  <si>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</si>
  <si>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</si>
  <si>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</si>
  <si>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</si>
  <si>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</si>
  <si>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</si>
  <si>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</si>
  <si>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</si>
  <si>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</si>
  <si>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</si>
  <si>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</si>
  <si>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</si>
  <si>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</si>
  <si>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</si>
  <si>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</si>
  <si>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</si>
  <si>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</si>
  <si>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</si>
  <si>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</si>
  <si>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</si>
  <si>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</si>
  <si>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</si>
  <si>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</si>
  <si>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</si>
  <si>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</si>
  <si>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</si>
  <si>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</si>
  <si>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</si>
  <si>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</si>
  <si>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</si>
  <si>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</si>
  <si>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</si>
  <si>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</si>
  <si>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</si>
  <si>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</si>
  <si>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</si>
  <si>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</si>
  <si>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</si>
  <si>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</si>
  <si>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</si>
  <si>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</si>
  <si>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</si>
  <si>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</si>
  <si>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</si>
  <si>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</si>
  <si>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</si>
  <si>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</si>
  <si>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</si>
  <si>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</si>
  <si>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</si>
  <si>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</si>
  <si>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</si>
  <si>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</si>
  <si>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</si>
  <si>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</si>
  <si>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</si>
  <si>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</si>
  <si>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</si>
  <si>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</si>
  <si>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</si>
  <si>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</si>
  <si>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</si>
  <si>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</si>
  <si>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</si>
  <si>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</si>
  <si>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</si>
  <si>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</si>
  <si>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</si>
  <si>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</si>
  <si>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</si>
  <si>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</si>
  <si>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</si>
  <si>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</si>
  <si>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</si>
  <si>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</si>
  <si>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</si>
  <si>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</si>
  <si>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</si>
  <si>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</si>
  <si>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</si>
  <si>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</si>
  <si>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</si>
  <si>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</si>
  <si>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</si>
  <si>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</si>
  <si>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</si>
  <si>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</si>
  <si>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</si>
  <si>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</si>
  <si>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</si>
  <si>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</si>
  <si>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</si>
  <si>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</si>
  <si>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</si>
  <si>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</si>
  <si>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</si>
  <si>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</si>
  <si>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</si>
  <si>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</si>
  <si>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</si>
  <si>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</si>
  <si>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</si>
  <si>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</si>
  <si>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</si>
  <si>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</si>
  <si>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</si>
  <si>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</si>
  <si>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</si>
  <si>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</si>
  <si>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</si>
  <si>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</si>
  <si>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</si>
  <si>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</si>
  <si>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</si>
  <si>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</si>
  <si>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</si>
  <si>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</si>
  <si>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</si>
  <si>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</si>
  <si>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</si>
  <si>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</si>
  <si>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</si>
  <si>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</si>
  <si>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</si>
  <si>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</si>
  <si>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</si>
  <si>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</si>
  <si>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</si>
  <si>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</si>
  <si>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</si>
  <si>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</si>
  <si>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</si>
  <si>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</si>
  <si>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</si>
  <si>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</si>
  <si>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</si>
  <si>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</si>
  <si>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</si>
  <si>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</si>
  <si>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</si>
  <si>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</si>
  <si>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</si>
  <si>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</si>
  <si>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</si>
  <si>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</si>
  <si>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</si>
  <si>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</si>
  <si>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</si>
  <si>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</si>
  <si>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</si>
  <si>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</si>
  <si>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</si>
  <si>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</si>
  <si>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</si>
  <si>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</si>
  <si>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</si>
  <si>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</si>
  <si>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</si>
  <si>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</si>
  <si>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</si>
  <si>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</si>
  <si>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</si>
  <si>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</si>
  <si>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</si>
  <si>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</si>
  <si>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</si>
  <si>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</si>
  <si>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</si>
  <si>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</si>
  <si>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</si>
  <si>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</si>
  <si>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</si>
  <si>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</si>
  <si>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</si>
  <si>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</si>
  <si>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</si>
  <si>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</si>
  <si>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</si>
  <si>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</si>
  <si>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</si>
  <si>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</si>
  <si>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</si>
  <si>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</si>
  <si>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</si>
  <si>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</si>
  <si>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</si>
  <si>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</si>
  <si>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</si>
  <si>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</si>
  <si>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</si>
  <si>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</si>
  <si>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</si>
  <si>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</si>
  <si>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</si>
  <si>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</si>
  <si>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</si>
  <si>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</si>
  <si>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</si>
  <si>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</si>
  <si>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</si>
  <si>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</si>
  <si>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</si>
  <si>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</si>
  <si>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</si>
  <si>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</si>
  <si>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</si>
  <si>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</si>
  <si>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</si>
  <si>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</si>
  <si>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</si>
  <si>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</si>
  <si>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</si>
  <si>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</si>
  <si>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</si>
  <si>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</si>
  <si>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</si>
  <si>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</si>
  <si>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</si>
  <si>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</si>
  <si>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</si>
  <si>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</si>
  <si>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</si>
  <si>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</si>
  <si>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</si>
  <si>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</si>
  <si>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</si>
  <si>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</si>
  <si>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</si>
  <si>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</si>
  <si>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</si>
  <si>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</si>
  <si>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</si>
  <si>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</si>
  <si>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</si>
  <si>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</si>
  <si>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</si>
  <si>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</si>
  <si>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</si>
  <si>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</si>
  <si>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</si>
  <si>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</si>
  <si>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</si>
  <si>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</si>
  <si>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</si>
  <si>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</si>
  <si>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</si>
  <si>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</si>
  <si>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</si>
  <si>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</si>
  <si>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</si>
  <si>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</si>
  <si>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</si>
  <si>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</si>
  <si>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</si>
  <si>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</si>
  <si>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</si>
  <si>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</si>
  <si>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</si>
  <si>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</si>
  <si>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</si>
  <si>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</si>
  <si>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</si>
  <si>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</si>
  <si>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</si>
  <si>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</si>
  <si>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</si>
  <si>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</si>
  <si>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</si>
  <si>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</si>
  <si>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</si>
  <si>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</si>
  <si>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</si>
  <si>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</si>
  <si>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</si>
  <si>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</si>
  <si>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</si>
  <si>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</si>
  <si>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</si>
  <si>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</si>
  <si>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</si>
  <si>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</si>
  <si>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</si>
  <si>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</si>
  <si>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</si>
  <si>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</si>
  <si>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</si>
  <si>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</si>
  <si>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</si>
  <si>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</si>
  <si>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</si>
  <si>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</si>
  <si>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</si>
  <si>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</si>
  <si>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</si>
  <si>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</si>
  <si>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</si>
  <si>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</si>
  <si>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</si>
  <si>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</si>
  <si>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</si>
  <si>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</si>
  <si>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</si>
  <si>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</si>
  <si>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</si>
  <si>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</si>
  <si>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</si>
  <si>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</si>
  <si>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</si>
  <si>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</si>
  <si>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</si>
  <si>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</si>
  <si>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</si>
  <si>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</si>
  <si>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</si>
  <si>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</si>
  <si>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</si>
  <si>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</si>
  <si>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</si>
  <si>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</si>
  <si>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</si>
  <si>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</si>
  <si>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</si>
  <si>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</si>
  <si>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</si>
  <si>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</si>
  <si>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</si>
  <si>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</si>
  <si>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</si>
  <si>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</si>
  <si>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</si>
  <si>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</si>
  <si>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</si>
  <si>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</si>
  <si>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</si>
  <si>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</si>
  <si>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</si>
  <si>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</si>
  <si>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</si>
  <si>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</si>
  <si>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</si>
  <si>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</si>
  <si>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</si>
  <si>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</si>
  <si>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</si>
  <si>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</si>
  <si>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</si>
  <si>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</si>
  <si>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</si>
  <si>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</si>
  <si>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</si>
  <si>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</si>
  <si>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</si>
  <si>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</si>
  <si>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</si>
  <si>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</si>
  <si>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</si>
  <si>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</si>
  <si>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</si>
  <si>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</si>
  <si>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</si>
  <si>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</si>
  <si>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</si>
  <si>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</si>
  <si>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</si>
  <si>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</si>
  <si>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</si>
  <si>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</si>
  <si>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</si>
  <si>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</si>
  <si>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</si>
  <si>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</si>
  <si>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</si>
  <si>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</si>
  <si>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</si>
  <si>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</si>
  <si>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</si>
  <si>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</si>
  <si>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</si>
  <si>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</si>
  <si>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</si>
  <si>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</si>
  <si>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</si>
  <si>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</si>
  <si>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</si>
  <si>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</si>
  <si>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</si>
  <si>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</si>
  <si>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</si>
  <si>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</si>
  <si>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</si>
  <si>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</si>
  <si>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</si>
  <si>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</si>
  <si>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</si>
  <si>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</si>
  <si>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</si>
  <si>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</si>
  <si>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</si>
  <si>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</si>
  <si>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</si>
  <si>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</si>
  <si>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</si>
  <si>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</si>
  <si>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</si>
  <si>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</si>
  <si>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</si>
  <si>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</si>
  <si>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</si>
  <si>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</si>
  <si>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</si>
  <si>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</si>
  <si>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</si>
  <si>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</si>
  <si>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</si>
  <si>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</si>
  <si>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</si>
  <si>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</si>
  <si>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</si>
  <si>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</si>
  <si>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</si>
  <si>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</si>
  <si>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</si>
  <si>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</si>
  <si>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</si>
  <si>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</si>
  <si>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</si>
  <si>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</si>
  <si>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</si>
  <si>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</si>
  <si>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</si>
  <si>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</si>
  <si>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</si>
  <si>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</si>
  <si>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</si>
  <si>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</si>
  <si>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</si>
  <si>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</si>
  <si>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</si>
  <si>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</si>
  <si>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</si>
  <si>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</si>
  <si>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</si>
  <si>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</si>
  <si>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</si>
  <si>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</si>
  <si>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</si>
  <si>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</si>
  <si>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</si>
  <si>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</si>
  <si>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</si>
  <si>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</si>
  <si>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</si>
  <si>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</si>
  <si>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</si>
  <si>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</si>
  <si>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</si>
  <si>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</si>
  <si>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</si>
  <si>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</si>
  <si>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</si>
  <si>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</si>
  <si>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</si>
  <si>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</si>
  <si>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</si>
  <si>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</si>
  <si>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</si>
  <si>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</si>
  <si>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</si>
  <si>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</si>
  <si>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</si>
  <si>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</si>
  <si>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</si>
  <si>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</si>
  <si>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</si>
  <si>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</si>
  <si>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</si>
  <si>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</si>
  <si>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</si>
  <si>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</si>
  <si>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</si>
  <si>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</si>
  <si>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</si>
  <si>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</si>
  <si>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</si>
  <si>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</si>
  <si>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</si>
  <si>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</si>
  <si>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</si>
  <si>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</si>
  <si>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</si>
  <si>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</si>
  <si>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</si>
  <si>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</si>
  <si>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</si>
  <si>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</si>
  <si>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</si>
  <si>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</si>
  <si>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</si>
  <si>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</si>
  <si>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</si>
  <si>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</si>
  <si>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</si>
  <si>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</si>
  <si>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</si>
  <si>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</si>
  <si>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</si>
  <si>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</si>
  <si>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</si>
  <si>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</si>
  <si>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</si>
  <si>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</si>
  <si>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</si>
  <si>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</si>
  <si>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</si>
  <si>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</si>
  <si>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</si>
  <si>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</si>
  <si>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</si>
  <si>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</si>
  <si>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</si>
  <si>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</si>
  <si>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</si>
  <si>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</si>
  <si>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</si>
  <si>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</si>
  <si>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</si>
  <si>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</si>
  <si>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</si>
  <si>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</si>
  <si>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</si>
  <si>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</si>
  <si>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</si>
  <si>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</si>
  <si>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</si>
  <si>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</si>
  <si>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</si>
  <si>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</si>
  <si>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</si>
  <si>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</si>
  <si>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</si>
  <si>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</si>
  <si>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</si>
  <si>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</si>
  <si>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</si>
  <si>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</si>
  <si>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</si>
  <si>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</si>
  <si>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</si>
  <si>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</si>
  <si>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</si>
  <si>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</si>
  <si>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</si>
  <si>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</si>
  <si>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</si>
  <si>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</si>
  <si>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</si>
  <si>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</si>
  <si>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</si>
  <si>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</si>
  <si>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</si>
  <si>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</si>
  <si>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</si>
  <si>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</si>
  <si>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</si>
  <si>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</si>
  <si>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</si>
  <si>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</si>
  <si>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</si>
  <si>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</si>
  <si>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</si>
  <si>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</si>
  <si>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</si>
  <si>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</si>
  <si>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</si>
  <si>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</si>
  <si>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</si>
  <si>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</si>
  <si>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</si>
  <si>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</si>
  <si>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</si>
  <si>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</si>
  <si>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</si>
  <si>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</si>
  <si>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</si>
  <si>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</si>
  <si>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</si>
  <si>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</si>
  <si>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</si>
  <si>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</si>
  <si>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</si>
  <si>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</si>
  <si>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</si>
  <si>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</si>
  <si>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</si>
  <si>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</si>
  <si>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</si>
  <si>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</si>
  <si>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</si>
  <si>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</si>
  <si>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</si>
  <si>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</si>
  <si>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</si>
  <si>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</si>
  <si>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</si>
  <si>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</si>
  <si>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</si>
  <si>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</si>
  <si>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</si>
  <si>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</si>
  <si>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</si>
  <si>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</si>
  <si>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</si>
  <si>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</si>
  <si>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</si>
  <si>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</si>
  <si>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</si>
  <si>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</si>
  <si>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</si>
  <si>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</si>
  <si>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</si>
  <si>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</si>
  <si>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</si>
  <si>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</si>
  <si>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</si>
  <si>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</si>
  <si>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</si>
  <si>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</si>
  <si>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</si>
  <si>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</si>
  <si>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</si>
  <si>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</si>
  <si>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</si>
  <si>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</si>
  <si>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</si>
  <si>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</si>
  <si>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</si>
  <si>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</si>
  <si>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</si>
  <si>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</si>
  <si>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</si>
  <si>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</si>
  <si>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</si>
  <si>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</si>
  <si>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</si>
  <si>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</si>
  <si>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</si>
  <si>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</si>
  <si>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</si>
  <si>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</si>
  <si>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</si>
  <si>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</si>
  <si>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</si>
  <si>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</si>
  <si>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</si>
  <si>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</si>
  <si>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</si>
  <si>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</si>
  <si>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</si>
  <si>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</si>
  <si>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</si>
  <si>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</si>
  <si>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</si>
  <si>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</si>
  <si>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</si>
  <si>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</si>
  <si>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</si>
  <si>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</si>
  <si>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</si>
  <si>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</si>
  <si>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</si>
  <si>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</si>
  <si>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</si>
  <si>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</si>
  <si>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</si>
  <si>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</si>
  <si>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</si>
  <si>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</si>
  <si>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</si>
  <si>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</si>
  <si>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</si>
  <si>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</si>
  <si>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</si>
  <si>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</si>
  <si>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</si>
  <si>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</si>
  <si>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</si>
  <si>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</si>
  <si>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</si>
  <si>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</si>
  <si>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</si>
  <si>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</si>
  <si>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</si>
  <si>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</si>
  <si>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</si>
  <si>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</si>
  <si>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</si>
  <si>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</si>
  <si>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</si>
  <si>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</si>
  <si>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</si>
  <si>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</si>
  <si>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</si>
  <si>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</si>
  <si>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</si>
  <si>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</si>
  <si>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</si>
  <si>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</si>
  <si>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</si>
  <si>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</si>
  <si>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</si>
  <si>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</si>
  <si>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</si>
  <si>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</si>
  <si>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</si>
  <si>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</si>
  <si>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</si>
  <si>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</si>
  <si>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</si>
  <si>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</si>
  <si>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</si>
  <si>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</si>
  <si>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</si>
  <si>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</si>
  <si>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</si>
  <si>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</si>
  <si>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</si>
  <si>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</si>
  <si>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</si>
  <si>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</si>
  <si>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</si>
  <si>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</si>
  <si>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</si>
  <si>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</si>
  <si>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</si>
  <si>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</si>
  <si>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</si>
  <si>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</si>
  <si>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</si>
  <si>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</si>
  <si>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</si>
  <si>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</si>
  <si>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</si>
  <si>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</si>
  <si>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</si>
  <si>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</si>
  <si>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</si>
  <si>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</si>
  <si>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</si>
  <si>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</si>
  <si>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</si>
  <si>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</si>
  <si>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</si>
  <si>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</si>
  <si>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</si>
  <si>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</si>
  <si>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</si>
  <si>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</si>
  <si>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</si>
  <si>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</si>
  <si>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</si>
  <si>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</si>
  <si>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</si>
  <si>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</si>
  <si>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</si>
  <si>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</si>
  <si>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</si>
  <si>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</si>
  <si>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</si>
  <si>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</si>
  <si>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</si>
  <si>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</si>
  <si>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</si>
  <si>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</si>
  <si>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</si>
  <si>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</si>
  <si>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</si>
  <si>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</si>
  <si>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</si>
  <si>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</si>
  <si>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</si>
  <si>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</si>
  <si>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</si>
  <si>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</si>
  <si>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</si>
  <si>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</si>
  <si>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</si>
  <si>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</si>
  <si>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</si>
  <si>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</si>
  <si>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</si>
  <si>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</si>
  <si>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</si>
  <si>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</si>
  <si>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</si>
  <si>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</si>
  <si>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</si>
  <si>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</si>
  <si>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</si>
  <si>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</si>
  <si>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</si>
  <si>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</si>
  <si>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</si>
  <si>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</si>
  <si>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</si>
  <si>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</si>
  <si>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</si>
  <si>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</si>
  <si>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</si>
  <si>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</si>
  <si>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</si>
  <si>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</si>
  <si>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</si>
  <si>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</si>
  <si>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</si>
  <si>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</si>
  <si>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</si>
  <si>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</si>
  <si>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</si>
  <si>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</si>
  <si>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</si>
  <si>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</si>
  <si>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</si>
  <si>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</si>
  <si>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</si>
  <si>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</si>
  <si>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</si>
  <si>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</si>
  <si>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</si>
  <si>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</si>
  <si>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</si>
  <si>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</si>
  <si>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</si>
  <si>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</si>
  <si>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</si>
  <si>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</si>
  <si>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</si>
  <si>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</si>
  <si>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</si>
  <si>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</si>
  <si>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</si>
  <si>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</si>
  <si>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</si>
  <si>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</si>
  <si>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</si>
  <si>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</si>
  <si>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</si>
  <si>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</si>
  <si>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</si>
  <si>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</si>
  <si>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</si>
  <si>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</si>
  <si>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</si>
  <si>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</si>
  <si>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</si>
  <si>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</si>
  <si>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</si>
  <si>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</si>
  <si>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</si>
  <si>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</si>
  <si>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</si>
  <si>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</si>
  <si>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</si>
  <si>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</si>
  <si>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</si>
  <si>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</si>
  <si>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</si>
  <si>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</si>
  <si>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</si>
  <si>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</si>
  <si>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</si>
  <si>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</si>
  <si>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</si>
  <si>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</si>
  <si>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</si>
  <si>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</si>
  <si>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</si>
  <si>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</si>
  <si>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</si>
  <si>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</si>
  <si>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</si>
  <si>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</si>
  <si>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</si>
  <si>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</si>
  <si>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</si>
  <si>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</si>
  <si>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</si>
  <si>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</si>
  <si>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</si>
  <si>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</si>
  <si>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</si>
  <si>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</si>
  <si>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</si>
  <si>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</si>
  <si>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</si>
  <si>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</si>
  <si>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</si>
  <si>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</si>
  <si>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</si>
  <si>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</si>
  <si>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</si>
  <si>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</si>
  <si>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</si>
  <si>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</si>
  <si>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</si>
  <si>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</si>
  <si>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</si>
  <si>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</si>
  <si>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</si>
  <si>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</si>
  <si>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</si>
  <si>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</si>
  <si>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</si>
  <si>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</si>
  <si>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</si>
  <si>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</si>
  <si>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</si>
  <si>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</si>
  <si>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</si>
  <si>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</si>
  <si>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</si>
  <si>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</si>
  <si>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</si>
  <si>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</si>
  <si>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</si>
  <si>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</si>
  <si>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</si>
  <si>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</si>
  <si>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</si>
  <si>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</si>
  <si>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</si>
  <si>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</si>
  <si>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</si>
  <si>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</si>
  <si>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</si>
  <si>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</si>
  <si>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</si>
  <si>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</si>
  <si>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</si>
  <si>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</si>
  <si>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</si>
  <si>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</si>
  <si>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</si>
  <si>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</si>
  <si>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</si>
  <si>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</si>
  <si>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</si>
  <si>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</si>
  <si>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</si>
  <si>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</si>
  <si>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</si>
  <si>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</si>
  <si>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</si>
  <si>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</si>
  <si>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</si>
  <si>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</si>
  <si>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</si>
  <si>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</si>
  <si>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</si>
  <si>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</si>
  <si>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</si>
  <si>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</si>
  <si>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</si>
  <si>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</si>
  <si>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</si>
  <si>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</si>
  <si>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</si>
  <si>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</si>
  <si>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</si>
  <si>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</si>
  <si>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</si>
  <si>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</si>
  <si>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</si>
  <si>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</si>
  <si>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</si>
  <si>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</si>
  <si>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</si>
  <si>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</si>
  <si>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</si>
  <si>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</si>
  <si>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</si>
  <si>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</si>
  <si>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</si>
  <si>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</si>
  <si>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</si>
  <si>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</si>
  <si>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</si>
  <si>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</si>
  <si>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</si>
  <si>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</si>
  <si>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</si>
  <si>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</si>
  <si>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</si>
  <si>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</si>
  <si>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</si>
  <si>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</si>
  <si>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</si>
  <si>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</si>
  <si>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</si>
  <si>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</si>
  <si>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</si>
  <si>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</si>
  <si>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</si>
  <si>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</si>
  <si>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</si>
  <si>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</si>
  <si>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</si>
  <si>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</si>
  <si>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</si>
  <si>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</si>
  <si>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</si>
  <si>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</si>
  <si>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</si>
  <si>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</si>
  <si>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</si>
  <si>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</si>
  <si>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</si>
  <si>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</si>
  <si>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</si>
  <si>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</si>
  <si>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</si>
  <si>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</si>
  <si>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</si>
  <si>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</si>
  <si>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</si>
  <si>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</si>
  <si>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</si>
  <si>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</si>
  <si>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</si>
  <si>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</si>
  <si>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</si>
  <si>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</si>
  <si>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</si>
  <si>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</si>
  <si>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</si>
  <si>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</si>
  <si>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</si>
  <si>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</si>
  <si>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</si>
  <si>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</si>
  <si>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</si>
  <si>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</si>
  <si>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</si>
  <si>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</si>
  <si>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</si>
  <si>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</si>
  <si>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</si>
  <si>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</si>
  <si>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</si>
  <si>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</si>
  <si>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</si>
  <si>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</si>
  <si>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</si>
  <si>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</si>
  <si>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</si>
  <si>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</si>
  <si>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</si>
  <si>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</si>
  <si>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</si>
  <si>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</si>
  <si>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</si>
  <si>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</si>
  <si>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</si>
  <si>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</si>
  <si>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</si>
  <si>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</si>
  <si>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</si>
  <si>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</si>
  <si>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</si>
  <si>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</si>
  <si>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</si>
  <si>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</si>
  <si>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</si>
  <si>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</si>
  <si>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</si>
  <si>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</si>
  <si>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</si>
  <si>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</si>
  <si>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</si>
  <si>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</si>
  <si>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</si>
  <si>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</si>
  <si>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</si>
  <si>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</si>
  <si>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</si>
  <si>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</si>
  <si>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</si>
  <si>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</si>
  <si>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</si>
  <si>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</si>
  <si>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</si>
  <si>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</si>
  <si>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</si>
  <si>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</si>
  <si>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</si>
  <si>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</si>
  <si>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</si>
  <si>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</si>
  <si>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</si>
  <si>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</si>
  <si>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</si>
  <si>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</si>
  <si>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</si>
  <si>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</si>
  <si>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</si>
  <si>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</si>
  <si>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</si>
  <si>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</si>
  <si>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</si>
  <si>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</si>
  <si>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</si>
  <si>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</si>
  <si>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</si>
  <si>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</si>
  <si>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d - Kubín Róbert</t>
  </si>
  <si>
    <t>TB-4/2</t>
  </si>
  <si>
    <t>250100130</t>
  </si>
  <si>
    <t>Nákup športového materiálu: 2x surfová doska Starboard IQ Foil 95 (2x1700,-), 2x Carbon reflex board bag (2x1290,-), Severne apex IQ Foil 490 (536,-), Severne Enigma IQ Foil 210-250 (1048,-)</t>
  </si>
  <si>
    <t>01981714</t>
  </si>
  <si>
    <t>Water solution s.r.o., CZ</t>
  </si>
  <si>
    <t>TB-5/2</t>
  </si>
  <si>
    <t>2/04/2025</t>
  </si>
  <si>
    <t>Tréningové sústredenie reprezentanta lodnej triedy iQ Foil, dátum: 10.2. - 22.2. 2025 , miesto: Cadiz, Španielsko - trénerské služby</t>
  </si>
  <si>
    <t>Wind-Surf Maciej Dziemianczuk</t>
  </si>
  <si>
    <t>3/04/2025</t>
  </si>
  <si>
    <t>Tréningové sústredenie reprezentanta lodnej triedy iQ Foil, dátum: 29.3. - 6.4.2025 , miesto: Cadiz, Španielsko - trénerské služby</t>
  </si>
  <si>
    <t>2025034</t>
  </si>
  <si>
    <t>Vzdelávanie v oblasti mentálnej prípravy reprezentanta v mesiacoch január, február, marec, apríl 2025</t>
  </si>
  <si>
    <t>52524671</t>
  </si>
  <si>
    <t>Škola úspechu s.r.o.</t>
  </si>
  <si>
    <t>1/05/2025</t>
  </si>
  <si>
    <t>Tréningové sústredenie reprezentanta lodnej triedy iQ Foil, dátum: 9.5.2025 - 17.5.2025 , miesto: Hyéres, Francúzsko - trénerské služby</t>
  </si>
  <si>
    <t>a - jachting - bežné transfery</t>
  </si>
  <si>
    <t>TB-7/2</t>
  </si>
  <si>
    <t>RG731677484, RG731677498</t>
  </si>
  <si>
    <t>36631124</t>
  </si>
  <si>
    <t>FP2025048</t>
  </si>
  <si>
    <t>2841486660</t>
  </si>
  <si>
    <t>Orange služby 24.06.2025 - 23.7.2025</t>
  </si>
  <si>
    <t>35697270</t>
  </si>
  <si>
    <t>Orange Slovensko, a.s.</t>
  </si>
  <si>
    <t>bankový poplatok</t>
  </si>
  <si>
    <t>Tatra banka, a.s.</t>
  </si>
  <si>
    <t>FP2025043</t>
  </si>
  <si>
    <t>2506014</t>
  </si>
  <si>
    <t>35861941</t>
  </si>
  <si>
    <t>WAVE, s.r.o.</t>
  </si>
  <si>
    <t>služby generálneho sekretára za mesiac  6/2025 čiastočne</t>
  </si>
  <si>
    <t>FP2025050</t>
  </si>
  <si>
    <t>37500306</t>
  </si>
  <si>
    <t>registratúrny systém 07/2025</t>
  </si>
  <si>
    <t>35690003</t>
  </si>
  <si>
    <t>RASAX alfa, spol. s r.o.</t>
  </si>
  <si>
    <t>TB-8/2</t>
  </si>
  <si>
    <t>VPC 01</t>
  </si>
  <si>
    <t>2025 iQFoil International Games 1, miesto: Lanzarote, Španielsko, dátum: 21.1.2025 - 3.2.2025 - stravné reprezentanta</t>
  </si>
  <si>
    <t>Róbert Kubín</t>
  </si>
  <si>
    <t>VPC 02</t>
  </si>
  <si>
    <t>2025 iQFoil International Games 2, miesto: Cadiz, Španielsko, dátum: 3.3.2025 - 15.3.2025 - stravné reprezentanta</t>
  </si>
  <si>
    <t>2025007</t>
  </si>
  <si>
    <t>Vzdelávanie v oblasti mentálnej prípravy reprezentanta za obdobie 05/2025 - 06/2025</t>
  </si>
  <si>
    <t>47497718</t>
  </si>
  <si>
    <t>Mysli inak s.r.o.</t>
  </si>
  <si>
    <t>T2S2SX</t>
  </si>
  <si>
    <t>Tréningové sústredenie a preteky iQFoil Puchar Prezydenta Sopotu, miesto: Sopot, Poľsko, dátum: 31.5.2025 - 10.06.2025 - letenka, stravné reprezentanta</t>
  </si>
  <si>
    <t>Ryanair DAC Corporate, Róbert Kubín</t>
  </si>
  <si>
    <t>OVFZNQ, NW3NPY, 2/06/2025, VPC 03</t>
  </si>
  <si>
    <t>Tréningové sústredenie, miesto: Sopot, Poľsko, dátum: 14.06.2025 - 24.06.2025 - letenka, odmena trénera, stravné reprezentanta</t>
  </si>
  <si>
    <t>Ryanair DAC Corporate, Wind-Surf Maciej Dziemanczuk, Róbert Kubín</t>
  </si>
  <si>
    <t>Ryanair DAC Corporate, Železničná spoločnosť Slovensko, a.s., PKP INTERCITY, FlixBus Polska sp., Wind-Surf Maciej Dziemanczuk, Róbert Kubín</t>
  </si>
  <si>
    <t>Tréningové sústredenie, miesto: Sopot, Poľsko, dátum: 05.07.2025 - 13.07.2025 - letenka Bratislava - Gdaňsk, vlaková doprava Košice - Bratislava, vlaková doprava Gdynia - Krakow, autobus Krakow - Košice, odmena trénera, stravné reprezentanta</t>
  </si>
  <si>
    <t>HNTWNI, 4354496, WN29092927, 3269179073, 1/07/2025, VPC 04</t>
  </si>
  <si>
    <t>3270661461, WN 29092927, XNSV3L, 2/07/2025, VPC 05</t>
  </si>
  <si>
    <t>Tréningové sústredenie, miesto: Sopot, Poľsko, dátum: 20.07.2025 - 29.07.2025 -autobusová doprava Košice - Krakow, vlaková doprava Krakow - Gdynia,  letenka Gdaňsk - Bratislava, odmena trénera, stravné reprezentanta</t>
  </si>
  <si>
    <t>35914939</t>
  </si>
  <si>
    <t>FlixBus Polska sp., PKP INTERCITY, Ryanair DAC Corporate, Wind-Surf Maciej Dziemanczuk, Róbert Kubín</t>
  </si>
  <si>
    <t>FP2025051</t>
  </si>
  <si>
    <t>2507010</t>
  </si>
  <si>
    <t>služby generálneho sekretára za mesiac 07/2025</t>
  </si>
  <si>
    <t>25700307</t>
  </si>
  <si>
    <t>Foiling Netherlands</t>
  </si>
  <si>
    <t xml:space="preserve">Nákup športového materiálu pre reprezentanta - 2x Patrik iQFoil carbon mast 95 cm </t>
  </si>
  <si>
    <t>2025-41551752, 4792309396, 2025-41551891, 2/02/2025 VPC 06</t>
  </si>
  <si>
    <t>Kiwi.com s.r.o., Booking.com, Wind-Surf Maciej Dziemnczuk, Róbert Kubín</t>
  </si>
  <si>
    <t>Tréningové sústredenie, miesto: Cadiz, Španielsko, dátum: 10.02.2025 - 22.02.2025 -letenka Viedeň - Seville, ubytovanie Playa Muralla, letenka Seville - Viedeň, odmena trénera, stravné reprezentanta</t>
  </si>
  <si>
    <t>35862289</t>
  </si>
  <si>
    <t>DOM ŠPORTU, s.r.o.</t>
  </si>
  <si>
    <t>FP2025056</t>
  </si>
  <si>
    <t>70250206</t>
  </si>
  <si>
    <t>doručovateľský servis 07/2025</t>
  </si>
  <si>
    <t>2025 iQFoil International Games 4, miesto: Silvaplana, Švajčiarsko, dátum: 16.8.2025 - 25.8.2025 - ubytovanie, štartovné, stravné reprezentanta</t>
  </si>
  <si>
    <t>205744111032/1, IQGSI25-00011, VPC 07</t>
  </si>
  <si>
    <t>Interhome Group HHD AG, IQ FOIL CLASS, Róbert Kubín</t>
  </si>
  <si>
    <t>2025009</t>
  </si>
  <si>
    <t>Vzdelávanie v oblasti mentálnej prípravy reprezentanta za obdobie 07/2025 - 08/2025</t>
  </si>
  <si>
    <t>FP2025063</t>
  </si>
  <si>
    <t>2590811</t>
  </si>
  <si>
    <t xml:space="preserve">Obnovenie registrácie doménového mena sailing.sk </t>
  </si>
  <si>
    <t>47184451</t>
  </si>
  <si>
    <t>Odporúčame, s.r.o.</t>
  </si>
  <si>
    <t>FP2025064</t>
  </si>
  <si>
    <t>2846153822</t>
  </si>
  <si>
    <t>Orange služby 24.07.2025 - 23.8.2025</t>
  </si>
  <si>
    <t>00686930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</si>
</sst>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02" val="8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Slovenský zväz jachtingu, Olympijské námestie 14290/1, Bratislava, 831 04</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30793211</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Slovenský zväz jachtingu</v>
      </c>
      <c r="C3" s="326"/>
      <c r="D3" s="326"/>
      <c r="G3" s="252">
        <v>45747</v>
      </c>
    </row>
    <row r="4" spans="1:7" ht="14.25" x14ac:dyDescent="0.2">
      <c r="A4" s="30" t="s">
        <v>313</v>
      </c>
      <c r="B4" s="29" t="str">
        <f>RIGHT("0000"&amp;INDEX(Adr!A:A,Doklady!B102+1),8)</f>
        <v>30793211</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55948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55948</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38" t="s">
        <v>329</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
      <c r="B3" s="160" t="s">
        <v>59</v>
      </c>
      <c r="C3" s="339" t="str">
        <f>INDEX(Adr!B2:B151,Doklady!B102)</f>
        <v>Slovenský zväz jachtingu</v>
      </c>
      <c r="D3" s="339"/>
      <c r="E3" s="339"/>
      <c r="F3" s="339"/>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30793211</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0" t="s">
        <v>334</v>
      </c>
      <c r="F9" s="341"/>
      <c r="J9" s="8"/>
      <c r="L9" s="118"/>
      <c r="M9" s="118"/>
      <c r="N9" s="118"/>
      <c r="O9" s="118"/>
      <c r="P9" s="118"/>
      <c r="Q9" s="118"/>
      <c r="R9" s="118"/>
      <c r="S9" s="118"/>
    </row>
    <row r="10" spans="1:26" ht="18" x14ac:dyDescent="0.25">
      <c r="A10" s="69" t="s">
        <v>317</v>
      </c>
      <c r="B10" s="70" t="s">
        <v>318</v>
      </c>
      <c r="C10" s="126">
        <f>SUMIF(FP!J:J,Doklady!$B$1&amp;A10,FP!D:D)</f>
        <v>0</v>
      </c>
      <c r="D10" s="126">
        <f>C10-E10</f>
        <v>0</v>
      </c>
      <c r="E10" s="331">
        <f>SUMIF(K:K,A10,I:I)</f>
        <v>0</v>
      </c>
      <c r="F10" s="332"/>
      <c r="L10" s="120" t="s">
        <v>335</v>
      </c>
      <c r="M10" s="118"/>
      <c r="N10" s="118"/>
      <c r="O10" s="118"/>
      <c r="P10" s="118"/>
      <c r="Q10" s="118"/>
      <c r="R10" s="118"/>
      <c r="S10" s="118"/>
    </row>
    <row r="11" spans="1:26" ht="18" x14ac:dyDescent="0.25">
      <c r="A11" s="69" t="s">
        <v>319</v>
      </c>
      <c r="B11" s="70" t="s">
        <v>320</v>
      </c>
      <c r="C11" s="126">
        <f>SUMIF(FP!J:J,Doklady!$B$1&amp;A11,FP!D:D)</f>
        <v>55948</v>
      </c>
      <c r="D11" s="126">
        <f>+C11-E11</f>
        <v>1782.2900000000009</v>
      </c>
      <c r="E11" s="342">
        <f>+I39-I42+I44-I47</f>
        <v>54165.71</v>
      </c>
      <c r="F11" s="343"/>
      <c r="J11" s="176"/>
      <c r="L11" s="161" t="str">
        <f>L41</f>
        <v>a - jachting - bežné transfery</v>
      </c>
      <c r="M11" s="118"/>
      <c r="N11" s="118"/>
      <c r="O11" s="118"/>
      <c r="P11" s="118"/>
      <c r="Q11" s="118"/>
      <c r="R11" s="118"/>
      <c r="S11" s="118"/>
    </row>
    <row r="12" spans="1:26" ht="18" x14ac:dyDescent="0.25">
      <c r="A12" s="69" t="s">
        <v>321</v>
      </c>
      <c r="B12" s="70" t="s">
        <v>322</v>
      </c>
      <c r="C12" s="126">
        <f>SUMIF(FP!J:J,Doklady!$B$1&amp;A12,FP!D:D)</f>
        <v>20000</v>
      </c>
      <c r="D12" s="126">
        <f>C12-E12</f>
        <v>20000</v>
      </c>
      <c r="E12" s="331">
        <f>SUMIF(K:K,A12,I:I)</f>
        <v>0</v>
      </c>
      <c r="F12" s="332"/>
      <c r="J12" s="177"/>
      <c r="L12" s="161" t="str">
        <f>L42</f>
        <v>a - jachting - kapitálové transfery</v>
      </c>
      <c r="N12" s="118"/>
      <c r="O12" s="118"/>
      <c r="P12" s="118"/>
      <c r="Q12" s="118"/>
      <c r="R12" s="118"/>
      <c r="S12" s="118"/>
    </row>
    <row r="13" spans="1:26" ht="18" x14ac:dyDescent="0.25">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1" t="s">
        <v>337</v>
      </c>
      <c r="C16" s="352"/>
      <c r="D16" s="352"/>
      <c r="E16" s="352"/>
      <c r="F16" s="352"/>
      <c r="G16" s="352"/>
      <c r="H16" s="35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6" t="s">
        <v>340</v>
      </c>
      <c r="C17" s="346"/>
      <c r="D17" s="346"/>
      <c r="E17" s="346"/>
      <c r="F17" s="346"/>
      <c r="G17" s="346"/>
      <c r="H17" s="346"/>
      <c r="I17" s="73">
        <f>SUMIF(FP!I:I,Doklady!$B$1&amp;A17,FP!D:D)</f>
        <v>55948</v>
      </c>
      <c r="T17" s="86"/>
    </row>
    <row r="18" spans="1:20" x14ac:dyDescent="0.2">
      <c r="A18" s="135" t="s">
        <v>341</v>
      </c>
      <c r="B18" s="346" t="s">
        <v>342</v>
      </c>
      <c r="C18" s="346"/>
      <c r="D18" s="346"/>
      <c r="E18" s="346"/>
      <c r="F18" s="346"/>
      <c r="G18" s="346"/>
      <c r="H18" s="346"/>
      <c r="I18" s="73">
        <f>SUMIF(FP!I:I,Doklady!$B$1&amp;A18,FP!D:D)</f>
        <v>0</v>
      </c>
    </row>
    <row r="19" spans="1:20" x14ac:dyDescent="0.2">
      <c r="A19" s="115" t="s">
        <v>343</v>
      </c>
      <c r="B19" s="346" t="s">
        <v>344</v>
      </c>
      <c r="C19" s="346"/>
      <c r="D19" s="346"/>
      <c r="E19" s="346"/>
      <c r="F19" s="346"/>
      <c r="G19" s="346"/>
      <c r="H19" s="346"/>
      <c r="I19" s="73">
        <f>SUMIF(FP!I:I,Doklady!$B$1&amp;A19,FP!D:D)</f>
        <v>0</v>
      </c>
    </row>
    <row r="20" spans="1:20" x14ac:dyDescent="0.2">
      <c r="A20" s="135" t="s">
        <v>345</v>
      </c>
      <c r="B20" s="335" t="s">
        <v>346</v>
      </c>
      <c r="C20" s="336"/>
      <c r="D20" s="336"/>
      <c r="E20" s="336"/>
      <c r="F20" s="336"/>
      <c r="G20" s="336"/>
      <c r="H20" s="337"/>
      <c r="I20" s="73">
        <f>SUMIF(FP!I:I,Doklady!$B$1&amp;A20,FP!D:D)</f>
        <v>20000</v>
      </c>
      <c r="T20" s="86"/>
    </row>
    <row r="21" spans="1:20" x14ac:dyDescent="0.2">
      <c r="A21" s="115" t="s">
        <v>347</v>
      </c>
      <c r="B21" s="335" t="s">
        <v>348</v>
      </c>
      <c r="C21" s="336"/>
      <c r="D21" s="336"/>
      <c r="E21" s="336"/>
      <c r="F21" s="336"/>
      <c r="G21" s="336"/>
      <c r="H21" s="337"/>
      <c r="I21" s="73">
        <f>SUMIF(FP!I:I,Doklady!$B$1&amp;A21,FP!D:D)</f>
        <v>0</v>
      </c>
      <c r="T21" s="86"/>
    </row>
    <row r="22" spans="1:20" x14ac:dyDescent="0.2">
      <c r="A22" s="135" t="s">
        <v>349</v>
      </c>
      <c r="B22" s="354" t="s">
        <v>350</v>
      </c>
      <c r="C22" s="355"/>
      <c r="D22" s="355"/>
      <c r="E22" s="355"/>
      <c r="F22" s="355"/>
      <c r="G22" s="355"/>
      <c r="H22" s="356"/>
      <c r="I22" s="73">
        <f>SUMIF(FP!I:I,Doklady!$B$1&amp;A22,FP!D:D)</f>
        <v>0</v>
      </c>
      <c r="T22" s="86"/>
    </row>
    <row r="23" spans="1:20" x14ac:dyDescent="0.2">
      <c r="A23" s="115" t="s">
        <v>351</v>
      </c>
      <c r="B23" s="335" t="s">
        <v>352</v>
      </c>
      <c r="C23" s="336"/>
      <c r="D23" s="336"/>
      <c r="E23" s="336"/>
      <c r="F23" s="336"/>
      <c r="G23" s="336"/>
      <c r="H23" s="337"/>
      <c r="I23" s="73">
        <f>SUMIF(FP!I:I,Doklady!$B$1&amp;A23,FP!D:D)</f>
        <v>0</v>
      </c>
      <c r="T23" s="86"/>
    </row>
    <row r="24" spans="1:20" x14ac:dyDescent="0.2">
      <c r="A24" s="135" t="s">
        <v>353</v>
      </c>
      <c r="B24" s="335" t="s">
        <v>354</v>
      </c>
      <c r="C24" s="336"/>
      <c r="D24" s="336"/>
      <c r="E24" s="336"/>
      <c r="F24" s="336"/>
      <c r="G24" s="336"/>
      <c r="H24" s="337"/>
      <c r="I24" s="73">
        <f>SUMIF(FP!I:I,Doklady!$B$1&amp;A24,FP!D:D)</f>
        <v>0</v>
      </c>
      <c r="T24" s="86"/>
    </row>
    <row r="25" spans="1:20" x14ac:dyDescent="0.2">
      <c r="A25" s="115" t="s">
        <v>355</v>
      </c>
      <c r="B25" s="347" t="s">
        <v>2282</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jachting</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11189.6</v>
      </c>
      <c r="D39" s="78">
        <f>I39*0.2</f>
        <v>11189.6</v>
      </c>
      <c r="E39" s="78">
        <f>I39*0.25</f>
        <v>13987</v>
      </c>
      <c r="F39" s="78">
        <f>+I39*0.15</f>
        <v>8392.1999999999989</v>
      </c>
      <c r="G39" s="78">
        <f>+MAX(I39-C39-D39-E39-F39-H39,0)</f>
        <v>11189.600000000004</v>
      </c>
      <c r="H39" s="78">
        <f>+IFERROR(VLOOKUP(K40&amp;" - kapitálové transfery",B$53:C$90,2,0),0)</f>
        <v>0</v>
      </c>
      <c r="I39" s="73">
        <f>SUMIF(FP!K:K,K40,FP!D:D)</f>
        <v>55948</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1782.29</v>
      </c>
      <c r="G40" s="78">
        <f>DSUM(Doklady!A103:J10000,"GGG",Spolu!T40:U42)-H40</f>
        <v>0</v>
      </c>
      <c r="H40" s="78">
        <f>+IFERROR(VLOOKUP(K40&amp;" - kapitálové transfery",B$53:D$90,3,0),0)</f>
        <v>0</v>
      </c>
      <c r="I40" s="73">
        <f>+C40+D40+E40+F40+G40+H40</f>
        <v>1782.29</v>
      </c>
      <c r="J40" s="218" t="str">
        <f>+K45</f>
        <v>.</v>
      </c>
      <c r="K40" s="218" t="str">
        <f>IF(L38&gt;0,INDEX(FP!K:K,Doklady!B2),".")</f>
        <v>jachting</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11189.6</v>
      </c>
      <c r="D41" s="78">
        <f>MAX(D39-D40,0)</f>
        <v>11189.6</v>
      </c>
      <c r="E41" s="78">
        <f>MAX(E39-E40,0)</f>
        <v>13987</v>
      </c>
      <c r="F41" s="78">
        <f>MIN(I39,MAX(-F39+F40,0))</f>
        <v>0</v>
      </c>
      <c r="G41" s="78">
        <f>MIN(J39,MAX(-G39+G40+MIN(F40-F39,0),0))</f>
        <v>0</v>
      </c>
      <c r="H41" s="78">
        <f>MAX(H39-H40,0)</f>
        <v>0</v>
      </c>
      <c r="I41" s="124">
        <f>+I39-I42</f>
        <v>54165.71</v>
      </c>
      <c r="J41" s="219">
        <f>+K46</f>
        <v>0</v>
      </c>
      <c r="K41" s="219">
        <f>+I41-H41</f>
        <v>54165.71</v>
      </c>
      <c r="L41" s="161" t="str">
        <f>IF(L38&gt;0,"a - "&amp;INDEX(FP!C:C,Doklady!B2),2)</f>
        <v>a - jachting - bežné transfery</v>
      </c>
      <c r="M41" s="120">
        <v>1</v>
      </c>
      <c r="N41" s="161" t="str">
        <f>+L41</f>
        <v>a - jachting - bežné transfery</v>
      </c>
      <c r="O41" s="120">
        <v>2</v>
      </c>
      <c r="P41" s="161" t="str">
        <f>+L41</f>
        <v>a - jachting - bežné transfery</v>
      </c>
      <c r="Q41" s="120">
        <v>3</v>
      </c>
      <c r="R41" s="161" t="str">
        <f>+L41</f>
        <v>a - jachting - bežné transfery</v>
      </c>
      <c r="S41" s="120">
        <v>4</v>
      </c>
      <c r="T41" s="161" t="str">
        <f>+L41</f>
        <v>a - jachting - bežné transfery</v>
      </c>
      <c r="U41" s="120">
        <v>5</v>
      </c>
    </row>
    <row r="42" spans="1:21" ht="10.5" customHeight="1" x14ac:dyDescent="0.2">
      <c r="A42" s="115" t="s">
        <v>339</v>
      </c>
      <c r="B42" s="116" t="s">
        <v>376</v>
      </c>
      <c r="C42" s="73">
        <f>+C40</f>
        <v>0</v>
      </c>
      <c r="D42" s="216">
        <f>+D40</f>
        <v>0</v>
      </c>
      <c r="E42" s="216">
        <f>+E40</f>
        <v>0</v>
      </c>
      <c r="F42" s="216">
        <f>+MIN(F39:F40)</f>
        <v>1782.29</v>
      </c>
      <c r="G42" s="216">
        <f>+MIN(G39+MAX(F39-F40,0)-MAX(E40-E39,0)-MAX(D40-D39,0)-MAX(C40-C39,0),G40)</f>
        <v>0</v>
      </c>
      <c r="H42" s="216">
        <f>+MIN(H39:H40)</f>
        <v>0</v>
      </c>
      <c r="I42" s="73">
        <f>+C42+D42+E42+MIN(F39:F40)+G42+H42</f>
        <v>1782.29</v>
      </c>
      <c r="J42" s="219">
        <f>+K47</f>
        <v>0</v>
      </c>
      <c r="K42" s="219">
        <f>+I42-H42</f>
        <v>1782.29</v>
      </c>
      <c r="L42" s="161" t="str">
        <f>+SUBSTITUTE(L41,"bežné","kapitálové")</f>
        <v>a - jachting - kapitálové transfery</v>
      </c>
      <c r="M42" s="120">
        <v>1</v>
      </c>
      <c r="N42" s="161" t="str">
        <f>+L42</f>
        <v>a - jachting - kapitálové transfery</v>
      </c>
      <c r="O42" s="120">
        <v>2</v>
      </c>
      <c r="P42" s="161" t="str">
        <f>+L42</f>
        <v>a - jachting - kapitálové transfery</v>
      </c>
      <c r="Q42" s="120">
        <v>3</v>
      </c>
      <c r="R42" s="161" t="str">
        <f>+L42</f>
        <v>a - jachting - kapitálové transfery</v>
      </c>
      <c r="S42" s="120">
        <v>4</v>
      </c>
      <c r="T42" s="161" t="str">
        <f>+L42</f>
        <v>a - jachting - kapitálové transfery</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jachting - bežné transfery</v>
      </c>
      <c r="C53" s="73">
        <f>IF(A53&lt;&gt;"",INDEX(FP!D:D,Doklady!B$2+(ROW()-53)),"")</f>
        <v>55948</v>
      </c>
      <c r="D53" s="73">
        <f>IF(A53&lt;&gt;"",Doklady!I1-Doklady!J1,"")</f>
        <v>1782.29</v>
      </c>
      <c r="E53" s="73">
        <f>IF(A53&lt;&gt;"",MIN(D53,C53)*Doklady!C1/(1-Doklady!C1),"")</f>
        <v>0</v>
      </c>
      <c r="F53" s="71">
        <f>IF(A53&lt;&gt;"",Doklady!J1,"")</f>
        <v>0</v>
      </c>
      <c r="G53" s="73">
        <f>+IFERROR(HLOOKUP(IF(RIGHT(B53,15)="bežné transfery",LEFT(B53,LEN(B53)-18),0),$J$40:$K$42,3,0),MIN(C53,D53))</f>
        <v>1782.29</v>
      </c>
      <c r="H53" s="71"/>
      <c r="I53" s="73">
        <f>IF(A53&lt;&gt;"",MAX(IF(G53&lt;C53,C53-G53,0)+IF(F53&lt;E53,E53-F53,0),0),0)</f>
        <v>54165.71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Kubín Róbert</v>
      </c>
      <c r="C54" s="73">
        <f>IF(A54&lt;&gt;"",INDEX(FP!D:D,Doklady!B$2+(ROW()-53)),"")</f>
        <v>20000</v>
      </c>
      <c r="D54" s="73">
        <f>IF(A54&lt;&gt;"",Doklady!I2-Doklady!J2,"")</f>
        <v>20000.000000000004</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75948</v>
      </c>
      <c r="D130" s="228">
        <f t="shared" ref="D130:I130" si="9">SUM(D53:D129)</f>
        <v>21782.290000000005</v>
      </c>
      <c r="E130" s="228">
        <f t="shared" si="9"/>
        <v>0</v>
      </c>
      <c r="F130" s="228">
        <f t="shared" si="9"/>
        <v>0</v>
      </c>
      <c r="G130" s="228">
        <f t="shared" si="9"/>
        <v>21782.29</v>
      </c>
      <c r="H130" s="228">
        <f t="shared" si="9"/>
        <v>0</v>
      </c>
      <c r="I130" s="228">
        <f t="shared" si="9"/>
        <v>54165.71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50"/>
      <c r="E140" s="350"/>
      <c r="F140" s="350"/>
      <c r="G140" s="350"/>
      <c r="H140" s="350"/>
      <c r="I140" s="350"/>
      <c r="J140" s="85"/>
    </row>
    <row r="141" spans="1:26" ht="68.25" customHeight="1" x14ac:dyDescent="0.2">
      <c r="A141" s="9"/>
      <c r="B141" s="283" t="s">
        <v>393</v>
      </c>
      <c r="C141" s="214"/>
      <c r="D141" s="330" t="s">
        <v>394</v>
      </c>
      <c r="E141" s="330"/>
      <c r="F141" s="330"/>
      <c r="G141" s="330"/>
      <c r="H141" s="330"/>
      <c r="I141" s="330"/>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28" zoomScaleNormal="100" workbookViewId="0">
      <selection activeCell="F130" sqref="F13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jachting - bežné transfery</v>
      </c>
      <c r="B1" s="232" t="str">
        <f>INDEX(Adr!A:A,B102+1)</f>
        <v>30793211</v>
      </c>
      <c r="C1" s="233">
        <f>IF(ROW()&lt;=B$3,INDEX(FP!E:E,B$2+ROW()-1),"")</f>
        <v>0</v>
      </c>
      <c r="D1" s="234" t="str">
        <f>IF(ROW()&lt;=B$3,INDEX(FP!F:F,B$2+ROW()-1),"")</f>
        <v>a</v>
      </c>
      <c r="E1" s="234"/>
      <c r="F1" s="234" t="str">
        <f>IF(ROW()&lt;=B$3,INDEX(FP!G:G,B$2+ROW()-1),"")</f>
        <v>026 02</v>
      </c>
      <c r="G1" s="234"/>
      <c r="H1" s="235" t="str">
        <f>IF(ROW()&lt;=B$3,INDEX(FP!C:C,B$2+ROW()-1),"")</f>
        <v>jachting - bežné transfery</v>
      </c>
      <c r="I1" s="236">
        <f t="shared" ref="I1:I6" si="0">IF(ROW()&lt;=B$3,SUMIF(A$107:A$10042,A1,I$107:I$10042),"")</f>
        <v>1782.29</v>
      </c>
      <c r="J1" s="236">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Kubín Róbert</v>
      </c>
      <c r="B2" s="237">
        <f>MATCH(B1,FP!A:A,0)</f>
        <v>312</v>
      </c>
      <c r="C2" s="233">
        <f>IF(ROW()&lt;=B$3,INDEX(FP!E:E,B$2+ROW()-1),"")</f>
        <v>0</v>
      </c>
      <c r="D2" s="234" t="str">
        <f>IF(ROW()&lt;=B$3,INDEX(FP!F:F,B$2+ROW()-1),"")</f>
        <v>d</v>
      </c>
      <c r="E2" s="234"/>
      <c r="F2" s="234" t="str">
        <f>IF(ROW()&lt;=B$3,INDEX(FP!G:G,B$2+ROW()-1),"")</f>
        <v>026 03</v>
      </c>
      <c r="G2" s="234"/>
      <c r="H2" s="235" t="str">
        <f>IF(ROW()&lt;=B$3,INDEX(FP!C:C,B$2+ROW()-1),"")</f>
        <v>Kubín Róbert</v>
      </c>
      <c r="I2" s="236">
        <f t="shared" si="0"/>
        <v>20000.000000000004</v>
      </c>
      <c r="J2" s="236">
        <f t="shared" si="1"/>
        <v>0</v>
      </c>
      <c r="K2" s="110" t="str">
        <f>$A2</f>
        <v>d - Kubín Róbert</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Kubín Róbert</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102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2293</v>
      </c>
      <c r="B107" s="14" t="s">
        <v>2294</v>
      </c>
      <c r="C107" s="14" t="s">
        <v>2295</v>
      </c>
      <c r="D107" s="16">
        <v>45761</v>
      </c>
      <c r="E107" s="16">
        <v>45777</v>
      </c>
      <c r="F107" s="14" t="s">
        <v>2296</v>
      </c>
      <c r="G107" s="14" t="s">
        <v>2297</v>
      </c>
      <c r="H107" s="14" t="s">
        <v>2298</v>
      </c>
      <c r="I107" s="15">
        <v>7564</v>
      </c>
      <c r="J107" s="77">
        <v>10</v>
      </c>
      <c r="K107" s="92"/>
    </row>
    <row r="108" spans="1:25" ht="45" x14ac:dyDescent="0.2">
      <c r="A108" s="14" t="s">
        <v>2293</v>
      </c>
      <c r="B108" s="14" t="s">
        <v>2299</v>
      </c>
      <c r="C108" s="14" t="s">
        <v>2300</v>
      </c>
      <c r="D108" s="16">
        <v>45777</v>
      </c>
      <c r="E108" s="16">
        <v>45799</v>
      </c>
      <c r="F108" s="14" t="s">
        <v>2301</v>
      </c>
      <c r="G108" s="14"/>
      <c r="H108" s="14" t="s">
        <v>2302</v>
      </c>
      <c r="I108" s="15">
        <v>500</v>
      </c>
      <c r="J108" s="77">
        <v>10</v>
      </c>
      <c r="K108" s="92"/>
    </row>
    <row r="109" spans="1:25" ht="45" x14ac:dyDescent="0.2">
      <c r="A109" s="14" t="s">
        <v>2293</v>
      </c>
      <c r="B109" s="14" t="s">
        <v>2299</v>
      </c>
      <c r="C109" s="14" t="s">
        <v>2303</v>
      </c>
      <c r="D109" s="16">
        <v>45777</v>
      </c>
      <c r="E109" s="16">
        <v>45799</v>
      </c>
      <c r="F109" s="14" t="s">
        <v>2304</v>
      </c>
      <c r="G109" s="14"/>
      <c r="H109" s="14" t="s">
        <v>2302</v>
      </c>
      <c r="I109" s="15">
        <v>650</v>
      </c>
      <c r="J109" s="77">
        <v>10</v>
      </c>
      <c r="K109" s="92"/>
    </row>
    <row r="110" spans="1:25" ht="33.75" x14ac:dyDescent="0.2">
      <c r="A110" s="14" t="s">
        <v>2293</v>
      </c>
      <c r="B110" s="14" t="s">
        <v>2299</v>
      </c>
      <c r="C110" s="14" t="s">
        <v>2305</v>
      </c>
      <c r="D110" s="16">
        <v>45797</v>
      </c>
      <c r="E110" s="16">
        <v>45799</v>
      </c>
      <c r="F110" s="14" t="s">
        <v>2306</v>
      </c>
      <c r="G110" s="14" t="s">
        <v>2307</v>
      </c>
      <c r="H110" s="14" t="s">
        <v>2308</v>
      </c>
      <c r="I110" s="15">
        <v>800</v>
      </c>
      <c r="J110" s="77">
        <v>10</v>
      </c>
      <c r="K110" s="92"/>
    </row>
    <row r="111" spans="1:25" ht="45" x14ac:dyDescent="0.2">
      <c r="A111" s="14" t="s">
        <v>2293</v>
      </c>
      <c r="B111" s="14" t="s">
        <v>2299</v>
      </c>
      <c r="C111" s="14" t="s">
        <v>2309</v>
      </c>
      <c r="D111" s="16">
        <v>45797</v>
      </c>
      <c r="E111" s="16">
        <v>45799</v>
      </c>
      <c r="F111" s="14" t="s">
        <v>2310</v>
      </c>
      <c r="G111" s="14"/>
      <c r="H111" s="14" t="s">
        <v>2302</v>
      </c>
      <c r="I111" s="15">
        <v>486</v>
      </c>
      <c r="J111" s="77">
        <v>10</v>
      </c>
      <c r="K111" s="92"/>
    </row>
    <row r="112" spans="1:25" ht="22.5" x14ac:dyDescent="0.2">
      <c r="A112" s="14" t="s">
        <v>2311</v>
      </c>
      <c r="B112" s="14" t="s">
        <v>2322</v>
      </c>
      <c r="C112" s="14" t="s">
        <v>2323</v>
      </c>
      <c r="D112" s="16">
        <v>45849</v>
      </c>
      <c r="E112" s="16"/>
      <c r="F112" s="14" t="s">
        <v>2326</v>
      </c>
      <c r="G112" s="14" t="s">
        <v>2324</v>
      </c>
      <c r="H112" s="14" t="s">
        <v>2325</v>
      </c>
      <c r="I112" s="15">
        <v>550.67999999999995</v>
      </c>
      <c r="J112" s="77">
        <v>4</v>
      </c>
      <c r="K112" s="92"/>
    </row>
    <row r="113" spans="1:11" ht="22.5" x14ac:dyDescent="0.2">
      <c r="A113" s="14" t="s">
        <v>2311</v>
      </c>
      <c r="B113" s="14" t="s">
        <v>2312</v>
      </c>
      <c r="C113" s="14" t="s">
        <v>2313</v>
      </c>
      <c r="D113" s="16">
        <v>45866</v>
      </c>
      <c r="E113" s="16"/>
      <c r="F113" s="14" t="s">
        <v>151</v>
      </c>
      <c r="G113" s="14" t="s">
        <v>2314</v>
      </c>
      <c r="H113" s="14" t="s">
        <v>152</v>
      </c>
      <c r="I113" s="15">
        <v>7.5</v>
      </c>
      <c r="J113" s="77">
        <v>4</v>
      </c>
      <c r="K113" s="92"/>
    </row>
    <row r="114" spans="1:11" ht="12.75" x14ac:dyDescent="0.2">
      <c r="A114" s="14" t="s">
        <v>2311</v>
      </c>
      <c r="B114" s="14" t="s">
        <v>2315</v>
      </c>
      <c r="C114" s="14" t="s">
        <v>2316</v>
      </c>
      <c r="D114" s="16">
        <v>45848</v>
      </c>
      <c r="E114" s="16"/>
      <c r="F114" s="14" t="s">
        <v>2317</v>
      </c>
      <c r="G114" s="14" t="s">
        <v>2318</v>
      </c>
      <c r="H114" s="14" t="s">
        <v>2319</v>
      </c>
      <c r="I114" s="15">
        <v>4</v>
      </c>
      <c r="J114" s="77">
        <v>4</v>
      </c>
      <c r="K114" s="92"/>
    </row>
    <row r="115" spans="1:11" ht="12.75" x14ac:dyDescent="0.2">
      <c r="A115" s="14" t="s">
        <v>2311</v>
      </c>
      <c r="B115" s="14" t="s">
        <v>2312</v>
      </c>
      <c r="C115" s="14"/>
      <c r="D115" s="16">
        <v>45869</v>
      </c>
      <c r="E115" s="16"/>
      <c r="F115" s="14" t="s">
        <v>2320</v>
      </c>
      <c r="G115" s="14" t="s">
        <v>2382</v>
      </c>
      <c r="H115" s="14" t="s">
        <v>2321</v>
      </c>
      <c r="I115" s="15">
        <v>7</v>
      </c>
      <c r="J115" s="77">
        <v>4</v>
      </c>
      <c r="K115" s="92"/>
    </row>
    <row r="116" spans="1:11" ht="12.75" x14ac:dyDescent="0.2">
      <c r="A116" s="14" t="s">
        <v>2311</v>
      </c>
      <c r="B116" s="14" t="s">
        <v>2312</v>
      </c>
      <c r="C116" s="14"/>
      <c r="D116" s="16">
        <v>45869</v>
      </c>
      <c r="E116" s="16"/>
      <c r="F116" s="14" t="s">
        <v>2320</v>
      </c>
      <c r="G116" s="14" t="s">
        <v>2382</v>
      </c>
      <c r="H116" s="14" t="s">
        <v>2321</v>
      </c>
      <c r="I116" s="15">
        <v>4.5599999999999996</v>
      </c>
      <c r="J116" s="77">
        <v>4</v>
      </c>
      <c r="K116" s="92"/>
    </row>
    <row r="117" spans="1:11" ht="12.75" x14ac:dyDescent="0.2">
      <c r="A117" s="14" t="s">
        <v>2311</v>
      </c>
      <c r="B117" s="14" t="s">
        <v>2312</v>
      </c>
      <c r="C117" s="14"/>
      <c r="D117" s="16">
        <v>45869</v>
      </c>
      <c r="E117" s="16"/>
      <c r="F117" s="14" t="s">
        <v>2320</v>
      </c>
      <c r="G117" s="14" t="s">
        <v>2382</v>
      </c>
      <c r="H117" s="14" t="s">
        <v>2321</v>
      </c>
      <c r="I117" s="15">
        <v>2</v>
      </c>
      <c r="J117" s="77">
        <v>4</v>
      </c>
      <c r="K117" s="92"/>
    </row>
    <row r="118" spans="1:11" ht="33.75" x14ac:dyDescent="0.2">
      <c r="A118" s="14" t="s">
        <v>2293</v>
      </c>
      <c r="B118" s="14" t="s">
        <v>2332</v>
      </c>
      <c r="C118" s="14" t="s">
        <v>2333</v>
      </c>
      <c r="D118" s="16">
        <v>45873</v>
      </c>
      <c r="E118" s="16"/>
      <c r="F118" s="14" t="s">
        <v>2334</v>
      </c>
      <c r="G118" s="14"/>
      <c r="H118" s="14" t="s">
        <v>2335</v>
      </c>
      <c r="I118" s="15">
        <v>559</v>
      </c>
      <c r="J118" s="77">
        <v>10</v>
      </c>
      <c r="K118" s="92"/>
    </row>
    <row r="119" spans="1:11" ht="33.75" x14ac:dyDescent="0.2">
      <c r="A119" s="14" t="s">
        <v>2293</v>
      </c>
      <c r="B119" s="14" t="s">
        <v>2332</v>
      </c>
      <c r="C119" s="14" t="s">
        <v>2336</v>
      </c>
      <c r="D119" s="16">
        <v>45873</v>
      </c>
      <c r="E119" s="16"/>
      <c r="F119" s="14" t="s">
        <v>2337</v>
      </c>
      <c r="G119" s="14"/>
      <c r="H119" s="14" t="s">
        <v>2335</v>
      </c>
      <c r="I119" s="15">
        <v>559</v>
      </c>
      <c r="J119" s="77">
        <v>10</v>
      </c>
      <c r="K119" s="92"/>
    </row>
    <row r="120" spans="1:11" ht="33.75" x14ac:dyDescent="0.2">
      <c r="A120" s="14" t="s">
        <v>2293</v>
      </c>
      <c r="B120" s="14" t="s">
        <v>2332</v>
      </c>
      <c r="C120" s="14" t="s">
        <v>2338</v>
      </c>
      <c r="D120" s="16">
        <v>45854</v>
      </c>
      <c r="E120" s="16">
        <v>45873</v>
      </c>
      <c r="F120" s="14" t="s">
        <v>2339</v>
      </c>
      <c r="G120" s="14" t="s">
        <v>2340</v>
      </c>
      <c r="H120" s="14" t="s">
        <v>2341</v>
      </c>
      <c r="I120" s="15">
        <v>400</v>
      </c>
      <c r="J120" s="77">
        <v>10</v>
      </c>
      <c r="K120" s="92"/>
    </row>
    <row r="121" spans="1:11" ht="12.75" x14ac:dyDescent="0.2">
      <c r="A121" s="14" t="s">
        <v>2311</v>
      </c>
      <c r="B121" s="14" t="s">
        <v>2327</v>
      </c>
      <c r="C121" s="14" t="s">
        <v>2328</v>
      </c>
      <c r="D121" s="16">
        <v>45874</v>
      </c>
      <c r="E121" s="16"/>
      <c r="F121" s="14" t="s">
        <v>2329</v>
      </c>
      <c r="G121" s="14" t="s">
        <v>2330</v>
      </c>
      <c r="H121" s="14" t="s">
        <v>2331</v>
      </c>
      <c r="I121" s="15">
        <v>24.6</v>
      </c>
      <c r="J121" s="77">
        <v>4</v>
      </c>
      <c r="K121" s="92"/>
    </row>
    <row r="122" spans="1:11" ht="45" x14ac:dyDescent="0.2">
      <c r="A122" s="14" t="s">
        <v>2293</v>
      </c>
      <c r="B122" s="14" t="s">
        <v>2332</v>
      </c>
      <c r="C122" s="14" t="s">
        <v>2342</v>
      </c>
      <c r="D122" s="16">
        <v>45808</v>
      </c>
      <c r="E122" s="16">
        <v>45874</v>
      </c>
      <c r="F122" s="14" t="s">
        <v>2343</v>
      </c>
      <c r="G122" s="14"/>
      <c r="H122" s="14" t="s">
        <v>2344</v>
      </c>
      <c r="I122" s="15">
        <v>425.72</v>
      </c>
      <c r="J122" s="77">
        <v>10</v>
      </c>
      <c r="K122" s="92"/>
    </row>
    <row r="123" spans="1:11" ht="45" x14ac:dyDescent="0.2">
      <c r="A123" s="14" t="s">
        <v>2293</v>
      </c>
      <c r="B123" s="14" t="s">
        <v>2332</v>
      </c>
      <c r="C123" s="14" t="s">
        <v>2345</v>
      </c>
      <c r="D123" s="16">
        <v>45838</v>
      </c>
      <c r="E123" s="16">
        <v>45874</v>
      </c>
      <c r="F123" s="14" t="s">
        <v>2346</v>
      </c>
      <c r="G123" s="14"/>
      <c r="H123" s="14" t="s">
        <v>2347</v>
      </c>
      <c r="I123" s="15">
        <v>958.21</v>
      </c>
      <c r="J123" s="77">
        <v>10</v>
      </c>
      <c r="K123" s="92"/>
    </row>
    <row r="124" spans="1:11" ht="78.75" x14ac:dyDescent="0.2">
      <c r="A124" s="14" t="s">
        <v>2293</v>
      </c>
      <c r="B124" s="14" t="s">
        <v>2332</v>
      </c>
      <c r="C124" s="14" t="s">
        <v>2350</v>
      </c>
      <c r="D124" s="16">
        <v>45867</v>
      </c>
      <c r="E124" s="16">
        <v>45874</v>
      </c>
      <c r="F124" s="14" t="s">
        <v>2349</v>
      </c>
      <c r="G124" s="14" t="s">
        <v>2353</v>
      </c>
      <c r="H124" s="14" t="s">
        <v>2348</v>
      </c>
      <c r="I124" s="15">
        <v>960.11</v>
      </c>
      <c r="J124" s="77">
        <v>10</v>
      </c>
      <c r="K124" s="92"/>
    </row>
    <row r="125" spans="1:11" ht="67.5" x14ac:dyDescent="0.2">
      <c r="A125" s="14" t="s">
        <v>2293</v>
      </c>
      <c r="B125" s="14" t="s">
        <v>2332</v>
      </c>
      <c r="C125" s="14" t="s">
        <v>2351</v>
      </c>
      <c r="D125" s="16">
        <v>45869</v>
      </c>
      <c r="E125" s="16">
        <v>45874</v>
      </c>
      <c r="F125" s="14" t="s">
        <v>2352</v>
      </c>
      <c r="G125" s="14"/>
      <c r="H125" s="14" t="s">
        <v>2354</v>
      </c>
      <c r="I125" s="15">
        <v>884.67</v>
      </c>
      <c r="J125" s="77">
        <v>10</v>
      </c>
      <c r="K125" s="92"/>
    </row>
    <row r="126" spans="1:11" ht="22.5" x14ac:dyDescent="0.2">
      <c r="A126" s="14" t="s">
        <v>2311</v>
      </c>
      <c r="B126" s="14" t="s">
        <v>2355</v>
      </c>
      <c r="C126" s="14" t="s">
        <v>2356</v>
      </c>
      <c r="D126" s="16">
        <v>45874</v>
      </c>
      <c r="E126" s="16"/>
      <c r="F126" s="14" t="s">
        <v>2357</v>
      </c>
      <c r="G126" s="14" t="s">
        <v>2324</v>
      </c>
      <c r="H126" s="14" t="s">
        <v>2325</v>
      </c>
      <c r="I126" s="15">
        <v>1107</v>
      </c>
      <c r="J126" s="77">
        <v>4</v>
      </c>
      <c r="K126" s="92"/>
    </row>
    <row r="127" spans="1:11" ht="33.75" x14ac:dyDescent="0.2">
      <c r="A127" s="14" t="s">
        <v>2293</v>
      </c>
      <c r="B127" s="14" t="s">
        <v>2332</v>
      </c>
      <c r="C127" s="14" t="s">
        <v>2358</v>
      </c>
      <c r="D127" s="16">
        <v>45806</v>
      </c>
      <c r="E127" s="16">
        <v>45874</v>
      </c>
      <c r="F127" s="14" t="s">
        <v>2360</v>
      </c>
      <c r="G127" s="14"/>
      <c r="H127" s="14" t="s">
        <v>2359</v>
      </c>
      <c r="I127" s="15">
        <v>1419</v>
      </c>
      <c r="J127" s="77">
        <v>10</v>
      </c>
      <c r="K127" s="92"/>
    </row>
    <row r="128" spans="1:11" ht="78.75" x14ac:dyDescent="0.2">
      <c r="A128" s="14" t="s">
        <v>2293</v>
      </c>
      <c r="B128" s="14" t="s">
        <v>2332</v>
      </c>
      <c r="C128" s="14" t="s">
        <v>2361</v>
      </c>
      <c r="D128" s="16">
        <v>45727</v>
      </c>
      <c r="E128" s="16">
        <v>45875</v>
      </c>
      <c r="F128" s="14" t="s">
        <v>2363</v>
      </c>
      <c r="G128" s="14"/>
      <c r="H128" s="14" t="s">
        <v>2362</v>
      </c>
      <c r="I128" s="15">
        <v>1490.98</v>
      </c>
      <c r="J128" s="77">
        <v>10</v>
      </c>
      <c r="K128" s="92"/>
    </row>
    <row r="129" spans="1:11" ht="12.75" x14ac:dyDescent="0.2">
      <c r="A129" s="14" t="s">
        <v>2311</v>
      </c>
      <c r="B129" s="14" t="s">
        <v>2366</v>
      </c>
      <c r="C129" s="14" t="s">
        <v>2367</v>
      </c>
      <c r="D129" s="16">
        <v>45877</v>
      </c>
      <c r="E129" s="16"/>
      <c r="F129" s="14" t="s">
        <v>2368</v>
      </c>
      <c r="G129" s="14" t="s">
        <v>2364</v>
      </c>
      <c r="H129" s="14" t="s">
        <v>2365</v>
      </c>
      <c r="I129" s="15">
        <v>30.75</v>
      </c>
      <c r="J129" s="77">
        <v>4</v>
      </c>
      <c r="K129" s="92"/>
    </row>
    <row r="130" spans="1:11" ht="45" x14ac:dyDescent="0.2">
      <c r="A130" s="14" t="s">
        <v>2293</v>
      </c>
      <c r="B130" s="14" t="s">
        <v>2332</v>
      </c>
      <c r="C130" s="14" t="s">
        <v>2370</v>
      </c>
      <c r="D130" s="16">
        <v>45897</v>
      </c>
      <c r="E130" s="16"/>
      <c r="F130" s="14" t="s">
        <v>2369</v>
      </c>
      <c r="G130" s="14"/>
      <c r="H130" s="14" t="s">
        <v>2371</v>
      </c>
      <c r="I130" s="15">
        <v>1766.61</v>
      </c>
      <c r="J130" s="77">
        <v>10</v>
      </c>
      <c r="K130" s="92"/>
    </row>
    <row r="131" spans="1:11" ht="33.75" x14ac:dyDescent="0.2">
      <c r="A131" s="14" t="s">
        <v>2293</v>
      </c>
      <c r="B131" s="14" t="s">
        <v>2332</v>
      </c>
      <c r="C131" s="14" t="s">
        <v>2372</v>
      </c>
      <c r="D131" s="16">
        <v>45895</v>
      </c>
      <c r="E131" s="16">
        <v>45897</v>
      </c>
      <c r="F131" s="14" t="s">
        <v>2373</v>
      </c>
      <c r="G131" s="14" t="s">
        <v>2340</v>
      </c>
      <c r="H131" s="14" t="s">
        <v>2341</v>
      </c>
      <c r="I131" s="15">
        <v>576.70000000000005</v>
      </c>
      <c r="J131" s="77">
        <v>10</v>
      </c>
      <c r="K131" s="92"/>
    </row>
    <row r="132" spans="1:11" ht="22.5" x14ac:dyDescent="0.2">
      <c r="A132" s="14" t="s">
        <v>2311</v>
      </c>
      <c r="B132" s="14" t="s">
        <v>2374</v>
      </c>
      <c r="C132" s="14" t="s">
        <v>2375</v>
      </c>
      <c r="D132" s="16">
        <v>45897</v>
      </c>
      <c r="E132" s="16"/>
      <c r="F132" s="14" t="s">
        <v>2376</v>
      </c>
      <c r="G132" s="14" t="s">
        <v>2377</v>
      </c>
      <c r="H132" s="14" t="s">
        <v>2378</v>
      </c>
      <c r="I132" s="15">
        <v>24.48</v>
      </c>
      <c r="J132" s="77">
        <v>4</v>
      </c>
      <c r="K132" s="92"/>
    </row>
    <row r="133" spans="1:11" ht="12.75" x14ac:dyDescent="0.2">
      <c r="A133" s="14" t="s">
        <v>2311</v>
      </c>
      <c r="B133" s="14" t="s">
        <v>2379</v>
      </c>
      <c r="C133" s="14" t="s">
        <v>2380</v>
      </c>
      <c r="D133" s="16">
        <v>45897</v>
      </c>
      <c r="E133" s="16"/>
      <c r="F133" s="14" t="s">
        <v>2381</v>
      </c>
      <c r="G133" s="14" t="s">
        <v>2318</v>
      </c>
      <c r="H133" s="14" t="s">
        <v>2319</v>
      </c>
      <c r="I133" s="15">
        <v>4</v>
      </c>
      <c r="J133" s="77">
        <v>4</v>
      </c>
      <c r="K133" s="92"/>
    </row>
    <row r="134" spans="1:11" ht="12.75" x14ac:dyDescent="0.2">
      <c r="A134" s="14" t="s">
        <v>2311</v>
      </c>
      <c r="B134" s="14" t="s">
        <v>2332</v>
      </c>
      <c r="C134" s="14"/>
      <c r="D134" s="16">
        <v>45899</v>
      </c>
      <c r="E134" s="16"/>
      <c r="F134" s="14" t="s">
        <v>2320</v>
      </c>
      <c r="G134" s="14" t="s">
        <v>2382</v>
      </c>
      <c r="H134" s="14" t="s">
        <v>2321</v>
      </c>
      <c r="I134" s="15">
        <v>7</v>
      </c>
      <c r="J134" s="77">
        <v>4</v>
      </c>
      <c r="K134" s="92"/>
    </row>
    <row r="135" spans="1:11" ht="12.75" x14ac:dyDescent="0.2">
      <c r="A135" s="14" t="s">
        <v>2311</v>
      </c>
      <c r="B135" s="14" t="s">
        <v>2332</v>
      </c>
      <c r="C135" s="14"/>
      <c r="D135" s="16">
        <v>45899</v>
      </c>
      <c r="E135" s="16"/>
      <c r="F135" s="14" t="s">
        <v>2320</v>
      </c>
      <c r="G135" s="14" t="s">
        <v>2382</v>
      </c>
      <c r="H135" s="14" t="s">
        <v>2321</v>
      </c>
      <c r="I135" s="15">
        <v>6.72</v>
      </c>
      <c r="J135" s="77">
        <v>4</v>
      </c>
      <c r="K135" s="92"/>
    </row>
    <row r="136" spans="1:11" ht="12.75" x14ac:dyDescent="0.2">
      <c r="A136" s="14" t="s">
        <v>2311</v>
      </c>
      <c r="B136" s="14" t="s">
        <v>2332</v>
      </c>
      <c r="C136" s="14"/>
      <c r="D136" s="16">
        <v>45899</v>
      </c>
      <c r="E136" s="16"/>
      <c r="F136" s="14" t="s">
        <v>2320</v>
      </c>
      <c r="G136" s="14" t="s">
        <v>2382</v>
      </c>
      <c r="H136" s="14" t="s">
        <v>2321</v>
      </c>
      <c r="I136" s="15">
        <v>2</v>
      </c>
      <c r="J136" s="77">
        <v>4</v>
      </c>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Slovenský zväz jachtingu, Olympijské námestie 14290/1, Bratislava, 831 04</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30793211</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Gabriela Dolanová</cp:lastModifiedBy>
  <cp:revision/>
  <cp:lastPrinted>2025-01-23T13:30:36Z</cp:lastPrinted>
  <dcterms:created xsi:type="dcterms:W3CDTF">2017-02-20T06:20:12Z</dcterms:created>
  <dcterms:modified xsi:type="dcterms:W3CDTF">2025-09-25T23:02:34Z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